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comment1.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comment2.xml" ContentType="application/vnd.openxmlformats-officedocument.spreadsheetml.comments+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Info" sheetId="1" state="visible" r:id="rId1"/>
    <sheet xmlns:r="http://schemas.openxmlformats.org/officeDocument/2006/relationships" name="FAQ" sheetId="2" state="visible" r:id="rId2"/>
    <sheet xmlns:r="http://schemas.openxmlformats.org/officeDocument/2006/relationships" name="MY" sheetId="3" state="visible" r:id="rId3"/>
    <sheet xmlns:r="http://schemas.openxmlformats.org/officeDocument/2006/relationships" name="A" sheetId="4" state="visible" r:id="rId4"/>
    <sheet xmlns:r="http://schemas.openxmlformats.org/officeDocument/2006/relationships" name="B" sheetId="5" state="visible" r:id="rId5"/>
    <sheet xmlns:r="http://schemas.openxmlformats.org/officeDocument/2006/relationships" name="C1" sheetId="6" state="visible" r:id="rId6"/>
    <sheet xmlns:r="http://schemas.openxmlformats.org/officeDocument/2006/relationships" name="C2" sheetId="7" state="visible" r:id="rId7"/>
    <sheet xmlns:r="http://schemas.openxmlformats.org/officeDocument/2006/relationships" name="D1" sheetId="8" state="visible" r:id="rId8"/>
    <sheet xmlns:r="http://schemas.openxmlformats.org/officeDocument/2006/relationships" name="D2" sheetId="9" state="visible" r:id="rId9"/>
    <sheet xmlns:r="http://schemas.openxmlformats.org/officeDocument/2006/relationships" name="D3" sheetId="10" state="visible" r:id="rId10"/>
    <sheet xmlns:r="http://schemas.openxmlformats.org/officeDocument/2006/relationships" name="Topics" sheetId="11" state="visible" r:id="rId11"/>
    <sheet xmlns:r="http://schemas.openxmlformats.org/officeDocument/2006/relationships" name="Checklist"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0.###############"/>
  </numFmts>
  <fonts count="34">
    <font>
      <name val="Arial"/>
      <charset val="1"/>
      <family val="0"/>
      <color rgb="FF000000"/>
      <sz val="10"/>
    </font>
    <font>
      <name val="Arial"/>
      <family val="0"/>
      <sz val="10"/>
    </font>
    <font>
      <name val="Arial"/>
      <family val="0"/>
      <sz val="10"/>
    </font>
    <font>
      <name val="Arial"/>
      <family val="0"/>
      <sz val="10"/>
    </font>
    <font>
      <name val="Arial"/>
      <charset val="1"/>
      <family val="0"/>
      <b val="1"/>
      <sz val="11"/>
    </font>
    <font>
      <name val="Arial"/>
      <charset val="1"/>
      <family val="0"/>
      <sz val="11"/>
    </font>
    <font>
      <name val="Arial"/>
      <charset val="1"/>
      <family val="0"/>
      <color rgb="FF1155CC"/>
      <sz val="11"/>
      <u val="single"/>
    </font>
    <font>
      <name val="Arial"/>
      <charset val="1"/>
      <family val="0"/>
      <color rgb="FF1155CC"/>
      <sz val="14"/>
      <u val="single"/>
    </font>
    <font>
      <name val="Arial"/>
      <charset val="1"/>
      <family val="0"/>
      <color rgb="FF0000FF"/>
      <sz val="11"/>
      <u val="single"/>
    </font>
    <font>
      <name val="Arial"/>
      <charset val="1"/>
      <family val="0"/>
      <b val="1"/>
      <color rgb="FF1155CC"/>
      <sz val="11"/>
      <u val="single"/>
    </font>
    <font>
      <name val="Arial"/>
      <charset val="1"/>
      <family val="0"/>
      <b val="1"/>
      <color rgb="FF000000"/>
      <sz val="11"/>
    </font>
    <font>
      <name val="Cambria"/>
      <charset val="1"/>
      <family val="0"/>
      <sz val="11"/>
    </font>
    <font>
      <name val="Arial"/>
      <charset val="1"/>
      <family val="0"/>
      <b val="1"/>
      <color rgb="FF1155CC"/>
      <sz val="12"/>
      <u val="single"/>
    </font>
    <font>
      <name val="Arial"/>
      <charset val="1"/>
      <family val="0"/>
      <b val="1"/>
      <sz val="12"/>
    </font>
    <font>
      <name val="Cambria"/>
      <charset val="1"/>
      <family val="0"/>
      <b val="1"/>
      <sz val="11"/>
    </font>
    <font>
      <name val="Arial"/>
      <charset val="1"/>
      <family val="0"/>
      <color rgb="FF000000"/>
      <sz val="11"/>
    </font>
    <font>
      <name val="arial,sans,sans-serif"/>
      <charset val="1"/>
      <family val="0"/>
      <b val="1"/>
      <sz val="11"/>
    </font>
    <font>
      <name val="arial,sans,sans-serif"/>
      <charset val="1"/>
      <family val="0"/>
      <sz val="11"/>
    </font>
    <font>
      <name val="Cambria"/>
      <charset val="1"/>
      <family val="0"/>
      <color rgb="FF0000FF"/>
      <sz val="11"/>
      <u val="single"/>
    </font>
    <font>
      <name val="Arial"/>
      <charset val="1"/>
      <family val="0"/>
      <i val="1"/>
      <sz val="11"/>
    </font>
    <font>
      <name val="&quot;Arial&quot;"/>
      <charset val="1"/>
      <family val="0"/>
      <color rgb="FF000000"/>
      <sz val="11"/>
    </font>
    <font>
      <name val="Cambria"/>
      <charset val="1"/>
      <family val="0"/>
      <color rgb="FF000000"/>
      <sz val="11"/>
    </font>
    <font>
      <name val="Arial"/>
      <charset val="1"/>
      <family val="0"/>
      <sz val="11"/>
      <u val="single"/>
    </font>
    <font>
      <name val="&quot;Arial&quot;"/>
      <charset val="1"/>
      <family val="0"/>
      <color rgb="FF1155CC"/>
      <sz val="11"/>
      <u val="single"/>
    </font>
    <font>
      <name val="arial,sans,sans-serif"/>
      <charset val="1"/>
      <family val="0"/>
      <strike val="1"/>
      <color rgb="FF000000"/>
      <sz val="11"/>
    </font>
    <font>
      <name val="Cambria"/>
      <charset val="1"/>
      <family val="0"/>
      <color rgb="FF0000FF"/>
      <sz val="9"/>
      <u val="single"/>
    </font>
    <font>
      <name val="Arial"/>
      <charset val="1"/>
      <family val="0"/>
      <b val="1"/>
      <color rgb="FF0000FF"/>
      <sz val="11"/>
      <u val="single"/>
    </font>
    <font>
      <name val="Cambria"/>
      <charset val="1"/>
      <family val="0"/>
      <color rgb="FF1155CC"/>
      <sz val="11"/>
      <u val="single"/>
    </font>
    <font>
      <name val="'Arial'"/>
      <charset val="1"/>
      <family val="0"/>
      <color rgb="FF000000"/>
      <sz val="11"/>
    </font>
    <font>
      <name val="Cambria"/>
      <charset val="1"/>
      <family val="0"/>
      <b val="1"/>
      <color rgb="FF0000FF"/>
      <sz val="11"/>
      <u val="single"/>
    </font>
    <font>
      <name val="Nimbus Sans"/>
      <family val="2"/>
      <sz val="10"/>
    </font>
    <font>
      <name val="Arial"/>
      <charset val="1"/>
      <family val="0"/>
      <sz val="10"/>
    </font>
    <font>
      <name val="Roboto"/>
      <charset val="1"/>
      <family val="0"/>
      <b val="1"/>
      <sz val="11"/>
    </font>
    <font>
      <name val="Cambria"/>
      <charset val="1"/>
      <family val="0"/>
      <b val="1"/>
      <sz val="18"/>
    </font>
  </fonts>
  <fills count="16">
    <fill>
      <patternFill/>
    </fill>
    <fill>
      <patternFill patternType="gray125"/>
    </fill>
    <fill>
      <patternFill patternType="solid">
        <fgColor rgb="FFFFFFFF"/>
        <bgColor rgb="FFFFF2CC"/>
      </patternFill>
    </fill>
    <fill>
      <patternFill patternType="solid">
        <fgColor rgb="FFA4C2F4"/>
        <bgColor rgb="FFB2B2B2"/>
      </patternFill>
    </fill>
    <fill>
      <patternFill patternType="solid">
        <fgColor rgb="FFFFD966"/>
        <bgColor rgb="FFFFFF99"/>
      </patternFill>
    </fill>
    <fill>
      <patternFill patternType="solid">
        <fgColor rgb="FF00FF00"/>
        <bgColor rgb="FF33CCCC"/>
      </patternFill>
    </fill>
    <fill>
      <patternFill patternType="solid">
        <fgColor rgb="FFEAD1DC"/>
        <bgColor rgb="FFCCCCCC"/>
      </patternFill>
    </fill>
    <fill>
      <patternFill patternType="solid">
        <fgColor rgb="FFD5A6BD"/>
        <bgColor rgb="FFEA9999"/>
      </patternFill>
    </fill>
    <fill>
      <patternFill patternType="solid">
        <fgColor rgb="FFFFFF00"/>
        <bgColor rgb="FFFFFF00"/>
      </patternFill>
    </fill>
    <fill>
      <patternFill patternType="solid">
        <fgColor rgb="FFFF00FF"/>
        <bgColor rgb="FFFF00FF"/>
      </patternFill>
    </fill>
    <fill>
      <patternFill patternType="solid">
        <fgColor rgb="FFFFF2CC"/>
        <bgColor rgb="FFFFFFFF"/>
      </patternFill>
    </fill>
    <fill>
      <patternFill patternType="solid">
        <fgColor rgb="FFFF0000"/>
        <bgColor rgb="FF980000"/>
      </patternFill>
    </fill>
    <fill>
      <patternFill patternType="solid">
        <fgColor rgb="FFFF9900"/>
        <bgColor rgb="FFFFCC00"/>
      </patternFill>
    </fill>
    <fill>
      <patternFill patternType="solid">
        <fgColor rgb="FF980000"/>
        <bgColor rgb="FF800000"/>
      </patternFill>
    </fill>
    <fill>
      <patternFill patternType="solid">
        <fgColor rgb="FF351C75"/>
        <bgColor rgb="FF333333"/>
      </patternFill>
    </fill>
    <fill>
      <patternFill patternType="solid">
        <fgColor rgb="FF00FFFF"/>
        <bgColor rgb="FF00FFFF"/>
      </patternFill>
    </fill>
  </fills>
  <borders count="11">
    <border>
      <left/>
      <right/>
      <top/>
      <bottom/>
      <diagonal/>
    </border>
    <border>
      <left style="thin">
        <color rgb="FFCCCCCC"/>
      </left>
      <right style="thin">
        <color rgb="FFCCCCCC"/>
      </right>
      <top style="thin">
        <color rgb="FFCCCCCC"/>
      </top>
      <bottom style="thin">
        <color rgb="FFCCCCCC"/>
      </bottom>
      <diagonal/>
    </border>
    <border>
      <left style="thin">
        <color rgb="FFB2B2B2"/>
      </left>
      <right style="thin">
        <color rgb="FFB2B2B2"/>
      </right>
      <top style="thin">
        <color rgb="FFB2B2B2"/>
      </top>
      <bottom style="thin">
        <color rgb="FFB2B2B2"/>
      </bottom>
      <diagonal/>
    </border>
    <border>
      <left/>
      <right/>
      <top style="thin">
        <color rgb="FFCCCCCC"/>
      </top>
      <bottom/>
      <diagonal/>
    </border>
    <border>
      <left/>
      <right style="thin">
        <color rgb="FFCCCCCC"/>
      </right>
      <top style="thin">
        <color rgb="FFCCCCCC"/>
      </top>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rgb="FFB2B2B2"/>
      </top>
      <bottom/>
      <diagonal/>
    </border>
    <border>
      <left/>
      <right style="thin">
        <color rgb="FFB2B2B2"/>
      </right>
      <top style="thin">
        <color rgb="FFB2B2B2"/>
      </top>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539">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2" borderId="0" applyAlignment="1" pivotButton="0" quotePrefix="0" xfId="0">
      <alignment horizontal="left" vertical="center" wrapText="1"/>
    </xf>
    <xf numFmtId="0" fontId="5" fillId="2" borderId="0" applyAlignment="1" pivotButton="0" quotePrefix="0" xfId="0">
      <alignment horizontal="general" vertical="bottom" wrapText="1"/>
    </xf>
    <xf numFmtId="0" fontId="5" fillId="2" borderId="0" applyAlignment="1" pivotButton="0" quotePrefix="0" xfId="0">
      <alignment horizontal="general" vertical="bottom"/>
    </xf>
    <xf numFmtId="0" fontId="6" fillId="2" borderId="0" applyAlignment="1" pivotButton="0" quotePrefix="0" xfId="0">
      <alignment horizontal="center" vertical="bottom"/>
    </xf>
    <xf numFmtId="0" fontId="5" fillId="2" borderId="0" applyAlignment="1" pivotButton="0" quotePrefix="0" xfId="0">
      <alignment horizontal="left" vertical="center"/>
    </xf>
    <xf numFmtId="0" fontId="4" fillId="2" borderId="0" applyAlignment="1" pivotButton="0" quotePrefix="0" xfId="0">
      <alignment horizontal="general" vertical="bottom" wrapText="1"/>
    </xf>
    <xf numFmtId="0" fontId="6" fillId="2" borderId="0" applyAlignment="1" pivotButton="0" quotePrefix="0" xfId="0">
      <alignment horizontal="left" vertical="center" wrapText="1"/>
    </xf>
    <xf numFmtId="0" fontId="4" fillId="2" borderId="0" applyAlignment="1" pivotButton="0" quotePrefix="0" xfId="0">
      <alignment horizontal="left" vertical="center"/>
    </xf>
    <xf numFmtId="0" fontId="7" fillId="3" borderId="0" applyAlignment="1" pivotButton="0" quotePrefix="0" xfId="0">
      <alignment horizontal="general" vertical="bottom" wrapText="1"/>
    </xf>
    <xf numFmtId="0" fontId="5" fillId="2" borderId="0" applyAlignment="1" pivotButton="0" quotePrefix="0" xfId="0">
      <alignment horizontal="center" vertical="center"/>
    </xf>
    <xf numFmtId="0" fontId="6" fillId="2" borderId="0" applyAlignment="1" pivotButton="0" quotePrefix="0" xfId="0">
      <alignment horizontal="general" vertical="bottom"/>
    </xf>
    <xf numFmtId="0" fontId="6" fillId="2" borderId="0" applyAlignment="1" pivotButton="0" quotePrefix="0" xfId="0">
      <alignment horizontal="left" vertical="center" wrapText="1"/>
    </xf>
    <xf numFmtId="0" fontId="8" fillId="2" borderId="0" applyAlignment="1" pivotButton="0" quotePrefix="0" xfId="0">
      <alignment horizontal="left" vertical="center" wrapText="1"/>
    </xf>
    <xf numFmtId="0" fontId="9" fillId="2" borderId="0" applyAlignment="1" pivotButton="0" quotePrefix="0" xfId="0">
      <alignment horizontal="left" vertical="center" wrapText="1"/>
    </xf>
    <xf numFmtId="0" fontId="4" fillId="0" borderId="0" applyAlignment="1" pivotButton="0" quotePrefix="0" xfId="0">
      <alignment horizontal="left" vertical="center"/>
    </xf>
    <xf numFmtId="0" fontId="5" fillId="0" borderId="0" applyAlignment="1" pivotButton="0" quotePrefix="0" xfId="0">
      <alignment horizontal="general" vertical="bottom"/>
    </xf>
    <xf numFmtId="0" fontId="10" fillId="2" borderId="0" applyAlignment="1" pivotButton="0" quotePrefix="0" xfId="0">
      <alignment horizontal="general" vertical="center" wrapText="1"/>
    </xf>
    <xf numFmtId="0" fontId="6" fillId="2" borderId="0" applyAlignment="1" pivotButton="0" quotePrefix="0" xfId="0">
      <alignment horizontal="general" vertical="bottom"/>
    </xf>
    <xf numFmtId="0" fontId="11" fillId="0" borderId="0" applyAlignment="1" pivotButton="0" quotePrefix="0" xfId="0">
      <alignment horizontal="general" vertical="bottom" wrapText="1"/>
    </xf>
    <xf numFmtId="0" fontId="5" fillId="2" borderId="0" applyAlignment="1" pivotButton="0" quotePrefix="0" xfId="0">
      <alignment horizontal="general" vertical="bottom"/>
    </xf>
    <xf numFmtId="0" fontId="12" fillId="4" borderId="0" applyAlignment="1" pivotButton="0" quotePrefix="0" xfId="0">
      <alignment horizontal="general" vertical="bottom" wrapText="1"/>
    </xf>
    <xf numFmtId="0" fontId="13" fillId="5" borderId="0" applyAlignment="1" pivotButton="0" quotePrefix="0" xfId="0">
      <alignment horizontal="left" vertical="center" wrapText="1"/>
    </xf>
    <xf numFmtId="0" fontId="12" fillId="0" borderId="0" applyAlignment="1" pivotButton="0" quotePrefix="0" xfId="0">
      <alignment horizontal="general" vertical="bottom" wrapText="1"/>
    </xf>
    <xf numFmtId="0" fontId="5" fillId="0" borderId="0" applyAlignment="1" pivotButton="0" quotePrefix="0" xfId="0">
      <alignment horizontal="general" vertical="bottom" wrapText="1"/>
    </xf>
    <xf numFmtId="0" fontId="12" fillId="0" borderId="0" applyAlignment="1" pivotButton="0" quotePrefix="0" xfId="0">
      <alignment horizontal="general" vertical="bottom"/>
    </xf>
    <xf numFmtId="0" fontId="14" fillId="0" borderId="0" applyAlignment="1" pivotButton="0" quotePrefix="0" xfId="0">
      <alignment horizontal="general" vertical="bottom"/>
    </xf>
    <xf numFmtId="0" fontId="11" fillId="0" borderId="0" applyAlignment="1" pivotButton="0" quotePrefix="0" xfId="0">
      <alignment horizontal="general" vertical="bottom"/>
    </xf>
    <xf numFmtId="0" fontId="9" fillId="0" borderId="0" applyAlignment="1" pivotButton="0" quotePrefix="0" xfId="0">
      <alignment horizontal="left" vertical="center" wrapText="1"/>
    </xf>
    <xf numFmtId="0" fontId="4" fillId="2" borderId="0" applyAlignment="1" pivotButton="0" quotePrefix="0" xfId="0">
      <alignment horizontal="left" vertical="center" wrapText="1"/>
    </xf>
    <xf numFmtId="0" fontId="4" fillId="5" borderId="0" applyAlignment="1" pivotButton="0" quotePrefix="0" xfId="0">
      <alignment horizontal="left" vertical="center" wrapText="1"/>
    </xf>
    <xf numFmtId="0" fontId="10" fillId="2" borderId="0" applyAlignment="1" pivotButton="0" quotePrefix="0" xfId="0">
      <alignment horizontal="left" vertical="bottom"/>
    </xf>
    <xf numFmtId="0" fontId="5" fillId="2" borderId="0" applyAlignment="1" pivotButton="0" quotePrefix="0" xfId="0">
      <alignment horizontal="center" vertical="bottom"/>
    </xf>
    <xf numFmtId="0" fontId="4" fillId="2" borderId="0" applyAlignment="1" pivotButton="0" quotePrefix="0" xfId="0">
      <alignment horizontal="general" vertical="center"/>
    </xf>
    <xf numFmtId="0" fontId="5" fillId="2" borderId="0" applyAlignment="1" pivotButton="0" quotePrefix="0" xfId="0">
      <alignment horizontal="center" vertical="bottom" wrapText="1"/>
    </xf>
    <xf numFmtId="0" fontId="5" fillId="2" borderId="0" applyAlignment="1" pivotButton="0" quotePrefix="0" xfId="0">
      <alignment horizontal="center" vertical="bottom" wrapText="1"/>
    </xf>
    <xf numFmtId="0" fontId="4" fillId="2" borderId="0" applyAlignment="1" pivotButton="0" quotePrefix="0" xfId="0">
      <alignment horizontal="general" vertical="center" wrapText="1"/>
    </xf>
    <xf numFmtId="0" fontId="5" fillId="2" borderId="0" applyAlignment="1" pivotButton="0" quotePrefix="0" xfId="0">
      <alignment horizontal="general" vertical="bottom" wrapText="1"/>
    </xf>
    <xf numFmtId="0" fontId="8" fillId="2" borderId="1" applyAlignment="1" pivotButton="0" quotePrefix="0" xfId="0">
      <alignment horizontal="general" vertical="bottom" wrapText="1"/>
    </xf>
    <xf numFmtId="0" fontId="6" fillId="0" borderId="0" applyAlignment="1" pivotButton="0" quotePrefix="0" xfId="0">
      <alignment horizontal="left" vertical="top"/>
    </xf>
    <xf numFmtId="0" fontId="6" fillId="6" borderId="0" applyAlignment="1" pivotButton="0" quotePrefix="0" xfId="0">
      <alignment horizontal="general" vertical="bottom"/>
    </xf>
    <xf numFmtId="0" fontId="6" fillId="7" borderId="0" applyAlignment="1" pivotButton="0" quotePrefix="0" xfId="0">
      <alignment horizontal="general" vertical="bottom"/>
    </xf>
    <xf numFmtId="0" fontId="6" fillId="5" borderId="0" applyAlignment="1" pivotButton="0" quotePrefix="0" xfId="0">
      <alignment horizontal="general" vertical="bottom"/>
    </xf>
    <xf numFmtId="0" fontId="8" fillId="2" borderId="0" applyAlignment="1" pivotButton="0" quotePrefix="0" xfId="0">
      <alignment horizontal="general" vertical="bottom"/>
    </xf>
    <xf numFmtId="0" fontId="8" fillId="2" borderId="0" applyAlignment="1" pivotButton="0" quotePrefix="0" xfId="0">
      <alignment horizontal="general" vertical="bottom"/>
    </xf>
    <xf numFmtId="0" fontId="15" fillId="2" borderId="0" applyAlignment="1" pivotButton="0" quotePrefix="0" xfId="0">
      <alignment horizontal="general" vertical="bottom" wrapText="1"/>
    </xf>
    <xf numFmtId="0" fontId="4" fillId="0" borderId="0" applyAlignment="1" pivotButton="0" quotePrefix="0" xfId="0">
      <alignment horizontal="general" vertical="center"/>
    </xf>
    <xf numFmtId="0" fontId="16" fillId="0" borderId="0" applyAlignment="1" pivotButton="0" quotePrefix="0" xfId="0">
      <alignment horizontal="left" vertical="bottom" wrapText="1"/>
    </xf>
    <xf numFmtId="0" fontId="17" fillId="0" borderId="0" applyAlignment="1" pivotButton="0" quotePrefix="0" xfId="0">
      <alignment horizontal="left" vertical="bottom" wrapText="1"/>
    </xf>
    <xf numFmtId="0" fontId="5" fillId="0" borderId="0" applyAlignment="1" pivotButton="0" quotePrefix="0" xfId="0">
      <alignment horizontal="left" vertical="bottom" wrapText="1"/>
    </xf>
    <xf numFmtId="0" fontId="11" fillId="8" borderId="0" applyAlignment="1" pivotButton="0" quotePrefix="0" xfId="0">
      <alignment horizontal="general" vertical="bottom" wrapText="1"/>
    </xf>
    <xf numFmtId="0" fontId="11" fillId="0" borderId="0" applyAlignment="1" pivotButton="0" quotePrefix="0" xfId="0">
      <alignment horizontal="general" vertical="bottom" wrapText="1"/>
    </xf>
    <xf numFmtId="0" fontId="5" fillId="8" borderId="0" applyAlignment="1" pivotButton="0" quotePrefix="0" xfId="0">
      <alignment horizontal="general" vertical="bottom" wrapText="1"/>
    </xf>
    <xf numFmtId="0" fontId="5" fillId="0" borderId="0" applyAlignment="1" pivotButton="0" quotePrefix="0" xfId="0">
      <alignment horizontal="general" vertical="bottom" wrapText="1"/>
    </xf>
    <xf numFmtId="0" fontId="18" fillId="0" borderId="0" applyAlignment="1" pivotButton="0" quotePrefix="0" xfId="0">
      <alignment horizontal="general" vertical="bottom" wrapText="1"/>
    </xf>
    <xf numFmtId="0" fontId="17" fillId="8" borderId="0" applyAlignment="1" pivotButton="0" quotePrefix="0" xfId="0">
      <alignment horizontal="general" vertical="bottom" wrapText="1"/>
    </xf>
    <xf numFmtId="0" fontId="0" fillId="0" borderId="2" applyAlignment="1" pivotButton="0" quotePrefix="0" xfId="0">
      <alignment horizontal="general" vertical="bottom"/>
    </xf>
    <xf numFmtId="0" fontId="5" fillId="8" borderId="2" applyAlignment="1" pivotButton="0" quotePrefix="0" xfId="0">
      <alignment horizontal="center" vertical="center"/>
    </xf>
    <xf numFmtId="164" fontId="5" fillId="8" borderId="2" applyAlignment="1" pivotButton="0" quotePrefix="0" xfId="0">
      <alignment horizontal="center" vertical="center" wrapText="1"/>
    </xf>
    <xf numFmtId="0" fontId="5" fillId="8" borderId="2" applyAlignment="1" pivotButton="0" quotePrefix="0" xfId="0">
      <alignment horizontal="center" vertical="center" wrapText="1"/>
    </xf>
    <xf numFmtId="0" fontId="5" fillId="8" borderId="2" applyAlignment="1" pivotButton="0" quotePrefix="0" xfId="0">
      <alignment horizontal="left" vertical="center" wrapText="1"/>
    </xf>
    <xf numFmtId="0" fontId="5" fillId="8" borderId="2" applyAlignment="1" pivotButton="0" quotePrefix="0" xfId="0">
      <alignment horizontal="left" vertical="center"/>
    </xf>
    <xf numFmtId="0" fontId="19" fillId="0" borderId="2" applyAlignment="1" pivotButton="0" quotePrefix="0" xfId="0">
      <alignment horizontal="general" vertical="center"/>
    </xf>
    <xf numFmtId="0" fontId="5" fillId="0" borderId="2" applyAlignment="1" pivotButton="0" quotePrefix="0" xfId="0">
      <alignment horizontal="center" vertical="center" wrapText="1"/>
    </xf>
    <xf numFmtId="0" fontId="5" fillId="9" borderId="2" applyAlignment="1" pivotButton="0" quotePrefix="0" xfId="0">
      <alignment horizontal="center" vertical="bottom"/>
    </xf>
    <xf numFmtId="0" fontId="5" fillId="9" borderId="2" applyAlignment="1" pivotButton="0" quotePrefix="0" xfId="0">
      <alignment horizontal="center" vertical="center"/>
    </xf>
    <xf numFmtId="0" fontId="5" fillId="9" borderId="2" applyAlignment="1" pivotButton="0" quotePrefix="0" xfId="0">
      <alignment horizontal="left" vertical="bottom"/>
    </xf>
    <xf numFmtId="0" fontId="11" fillId="0" borderId="2" applyAlignment="1" pivotButton="0" quotePrefix="0" xfId="0">
      <alignment horizontal="general" vertical="center"/>
    </xf>
    <xf numFmtId="0" fontId="11" fillId="0" borderId="2" applyAlignment="1" pivotButton="0" quotePrefix="0" xfId="0">
      <alignment horizontal="left" vertical="center" wrapText="1"/>
    </xf>
    <xf numFmtId="0" fontId="15" fillId="0" borderId="2" applyAlignment="1" pivotButton="0" quotePrefix="0" xfId="0">
      <alignment horizontal="center" vertical="center" wrapText="1"/>
    </xf>
    <xf numFmtId="0" fontId="15" fillId="0" borderId="2" applyAlignment="1" pivotButton="0" quotePrefix="0" xfId="0">
      <alignment horizontal="general" vertical="center"/>
    </xf>
    <xf numFmtId="0" fontId="20" fillId="0" borderId="2" applyAlignment="1" pivotButton="0" quotePrefix="0" xfId="0">
      <alignment horizontal="center" vertical="center" wrapText="1"/>
    </xf>
    <xf numFmtId="0" fontId="21" fillId="0" borderId="2" applyAlignment="1" pivotButton="0" quotePrefix="0" xfId="0">
      <alignment horizontal="general" vertical="bottom"/>
    </xf>
    <xf numFmtId="0" fontId="15" fillId="0" borderId="2" applyAlignment="1" pivotButton="0" quotePrefix="0" xfId="0">
      <alignment horizontal="left" vertical="center" wrapText="1"/>
    </xf>
    <xf numFmtId="0" fontId="15" fillId="0" borderId="2" applyAlignment="1" pivotButton="0" quotePrefix="0" xfId="0">
      <alignment horizontal="left" vertical="center"/>
    </xf>
    <xf numFmtId="0" fontId="5" fillId="0" borderId="2" applyAlignment="1" pivotButton="0" quotePrefix="0" xfId="0">
      <alignment horizontal="left" vertical="center"/>
    </xf>
    <xf numFmtId="0" fontId="5" fillId="0" borderId="2" applyAlignment="1" pivotButton="0" quotePrefix="0" xfId="0">
      <alignment horizontal="general" vertical="center" wrapText="1"/>
    </xf>
    <xf numFmtId="0" fontId="5" fillId="0" borderId="2" applyAlignment="1" pivotButton="0" quotePrefix="0" xfId="0">
      <alignment horizontal="general" vertical="center"/>
    </xf>
    <xf numFmtId="0" fontId="5" fillId="0" borderId="2" applyAlignment="1" pivotButton="0" quotePrefix="0" xfId="0">
      <alignment horizontal="general" vertical="bottom"/>
    </xf>
    <xf numFmtId="0" fontId="6" fillId="0" borderId="2" applyAlignment="1" pivotButton="0" quotePrefix="0" xfId="0">
      <alignment horizontal="general" vertical="bottom" wrapText="1"/>
    </xf>
    <xf numFmtId="0" fontId="5" fillId="0" borderId="2" applyAlignment="1" pivotButton="0" quotePrefix="0" xfId="0">
      <alignment horizontal="center" vertical="bottom"/>
    </xf>
    <xf numFmtId="0" fontId="6" fillId="0" borderId="2" applyAlignment="1" pivotButton="0" quotePrefix="0" xfId="0">
      <alignment horizontal="general" vertical="bottom"/>
    </xf>
    <xf numFmtId="0" fontId="5" fillId="0" borderId="2" applyAlignment="1" pivotButton="0" quotePrefix="0" xfId="0">
      <alignment horizontal="general" vertical="bottom" wrapText="1"/>
    </xf>
    <xf numFmtId="0" fontId="5" fillId="0" borderId="2" applyAlignment="1" pivotButton="0" quotePrefix="0" xfId="0">
      <alignment horizontal="left" vertical="bottom"/>
    </xf>
    <xf numFmtId="0" fontId="11" fillId="0" borderId="2" applyAlignment="1" pivotButton="0" quotePrefix="0" xfId="0">
      <alignment horizontal="left" vertical="center"/>
    </xf>
    <xf numFmtId="0" fontId="11" fillId="0" borderId="2" applyAlignment="1" pivotButton="0" quotePrefix="0" xfId="0">
      <alignment horizontal="general" vertical="bottom" wrapText="1"/>
    </xf>
    <xf numFmtId="0" fontId="20" fillId="0" borderId="2" applyAlignment="1" pivotButton="0" quotePrefix="0" xfId="0">
      <alignment horizontal="general" vertical="bottom" wrapText="1"/>
    </xf>
    <xf numFmtId="0" fontId="9" fillId="0" borderId="2" applyAlignment="1" pivotButton="0" quotePrefix="0" xfId="0">
      <alignment horizontal="left" vertical="center"/>
    </xf>
    <xf numFmtId="0" fontId="5" fillId="0" borderId="2" applyAlignment="1" pivotButton="0" quotePrefix="0" xfId="0">
      <alignment horizontal="center" vertical="bottom" wrapText="1"/>
    </xf>
    <xf numFmtId="0" fontId="5" fillId="2" borderId="2" applyAlignment="1" pivotButton="0" quotePrefix="0" xfId="0">
      <alignment horizontal="general" vertical="bottom"/>
    </xf>
    <xf numFmtId="0" fontId="5" fillId="2" borderId="2" applyAlignment="1" pivotButton="0" quotePrefix="0" xfId="0">
      <alignment horizontal="center" vertical="bottom" wrapText="1"/>
    </xf>
    <xf numFmtId="0" fontId="5" fillId="2" borderId="2" applyAlignment="1" pivotButton="0" quotePrefix="0" xfId="0">
      <alignment horizontal="center" vertical="bottom"/>
    </xf>
    <xf numFmtId="0" fontId="5" fillId="2" borderId="2" applyAlignment="1" pivotButton="0" quotePrefix="0" xfId="0">
      <alignment horizontal="center" vertical="center"/>
    </xf>
    <xf numFmtId="0" fontId="5" fillId="2" borderId="2" applyAlignment="1" pivotButton="0" quotePrefix="0" xfId="0">
      <alignment horizontal="center" vertical="center" wrapText="1"/>
    </xf>
    <xf numFmtId="0" fontId="6" fillId="2" borderId="2" applyAlignment="1" pivotButton="0" quotePrefix="0" xfId="0">
      <alignment horizontal="general" vertical="bottom"/>
    </xf>
    <xf numFmtId="0" fontId="5" fillId="2" borderId="2" applyAlignment="1" pivotButton="0" quotePrefix="0" xfId="0">
      <alignment horizontal="left" vertical="bottom"/>
    </xf>
    <xf numFmtId="0" fontId="9" fillId="2" borderId="2" applyAlignment="1" pivotButton="0" quotePrefix="0" xfId="0">
      <alignment horizontal="general" vertical="bottom"/>
    </xf>
    <xf numFmtId="0" fontId="5" fillId="2" borderId="2" applyAlignment="1" pivotButton="0" quotePrefix="0" xfId="0">
      <alignment horizontal="left" vertical="center" wrapText="1"/>
    </xf>
    <xf numFmtId="0" fontId="5" fillId="2" borderId="2" applyAlignment="1" pivotButton="0" quotePrefix="0" xfId="0">
      <alignment horizontal="left" vertical="center"/>
    </xf>
    <xf numFmtId="0" fontId="15" fillId="2" borderId="2" applyAlignment="1" pivotButton="0" quotePrefix="0" xfId="0">
      <alignment horizontal="general" vertical="bottom"/>
    </xf>
    <xf numFmtId="0" fontId="6" fillId="2" borderId="2" applyAlignment="1" pivotButton="0" quotePrefix="0" xfId="0">
      <alignment horizontal="general" vertical="bottom" wrapText="1"/>
    </xf>
    <xf numFmtId="0" fontId="6" fillId="2" borderId="2" applyAlignment="1" pivotButton="0" quotePrefix="0" xfId="0">
      <alignment horizontal="center" vertical="bottom"/>
    </xf>
    <xf numFmtId="0" fontId="22" fillId="2" borderId="2" applyAlignment="1" pivotButton="0" quotePrefix="0" xfId="0">
      <alignment horizontal="center" vertical="center"/>
    </xf>
    <xf numFmtId="0" fontId="5" fillId="2" borderId="2" applyAlignment="1" pivotButton="0" quotePrefix="0" xfId="0">
      <alignment horizontal="general" vertical="bottom" wrapText="1"/>
    </xf>
    <xf numFmtId="0" fontId="5" fillId="2" borderId="2" applyAlignment="1" pivotButton="0" quotePrefix="0" xfId="0">
      <alignment horizontal="left" vertical="bottom" wrapText="1"/>
    </xf>
    <xf numFmtId="0" fontId="15" fillId="2" borderId="2" applyAlignment="1" pivotButton="0" quotePrefix="0" xfId="0">
      <alignment horizontal="left" vertical="bottom" wrapText="1"/>
    </xf>
    <xf numFmtId="0" fontId="15" fillId="2" borderId="2" applyAlignment="1" pivotButton="0" quotePrefix="0" xfId="0">
      <alignment horizontal="general" vertical="bottom" wrapText="1"/>
    </xf>
    <xf numFmtId="0" fontId="23" fillId="0" borderId="2" applyAlignment="1" pivotButton="0" quotePrefix="0" xfId="0">
      <alignment horizontal="general" vertical="bottom" wrapText="1"/>
    </xf>
    <xf numFmtId="0" fontId="6" fillId="2" borderId="2" applyAlignment="1" pivotButton="0" quotePrefix="0" xfId="0">
      <alignment horizontal="left" vertical="bottom" wrapText="1"/>
    </xf>
    <xf numFmtId="0" fontId="5" fillId="10" borderId="2" applyAlignment="1" pivotButton="0" quotePrefix="0" xfId="0">
      <alignment horizontal="left" vertical="bottom"/>
    </xf>
    <xf numFmtId="0" fontId="6" fillId="10" borderId="2" applyAlignment="1" pivotButton="0" quotePrefix="0" xfId="0">
      <alignment horizontal="left" vertical="bottom"/>
    </xf>
    <xf numFmtId="0" fontId="5" fillId="10" borderId="2" applyAlignment="1" pivotButton="0" quotePrefix="0" xfId="0">
      <alignment horizontal="center" vertical="center"/>
    </xf>
    <xf numFmtId="0" fontId="5" fillId="10" borderId="2" applyAlignment="1" pivotButton="0" quotePrefix="0" xfId="0">
      <alignment horizontal="center" vertical="bottom"/>
    </xf>
    <xf numFmtId="0" fontId="5" fillId="10" borderId="2" applyAlignment="1" pivotButton="0" quotePrefix="0" xfId="0">
      <alignment horizontal="general" vertical="bottom"/>
    </xf>
    <xf numFmtId="0" fontId="8" fillId="2" borderId="2" applyAlignment="1" pivotButton="0" quotePrefix="0" xfId="0">
      <alignment horizontal="general" vertical="bottom"/>
    </xf>
    <xf numFmtId="0" fontId="5" fillId="2" borderId="2" applyAlignment="1" pivotButton="0" quotePrefix="0" xfId="0">
      <alignment horizontal="general" vertical="center"/>
    </xf>
    <xf numFmtId="0" fontId="6" fillId="2" borderId="2" applyAlignment="1" pivotButton="0" quotePrefix="0" xfId="0">
      <alignment horizontal="general" vertical="center" wrapText="1"/>
    </xf>
    <xf numFmtId="0" fontId="9" fillId="2" borderId="2" applyAlignment="1" pivotButton="0" quotePrefix="0" xfId="0">
      <alignment horizontal="left" vertical="center"/>
    </xf>
    <xf numFmtId="0" fontId="8" fillId="2" borderId="2" applyAlignment="1" pivotButton="0" quotePrefix="0" xfId="0">
      <alignment horizontal="general" vertical="bottom" wrapText="1"/>
    </xf>
    <xf numFmtId="0" fontId="0" fillId="8" borderId="2" applyAlignment="1" pivotButton="0" quotePrefix="0" xfId="0">
      <alignment horizontal="general" vertical="bottom"/>
    </xf>
    <xf numFmtId="0" fontId="5" fillId="8" borderId="2" applyAlignment="1" pivotButton="0" quotePrefix="0" xfId="0">
      <alignment horizontal="general" vertical="bottom"/>
    </xf>
    <xf numFmtId="0" fontId="11" fillId="2" borderId="2" applyAlignment="1" pivotButton="0" quotePrefix="0" xfId="0">
      <alignment horizontal="general" vertical="center"/>
    </xf>
    <xf numFmtId="0" fontId="11" fillId="2" borderId="2" applyAlignment="1" pivotButton="0" quotePrefix="0" xfId="0">
      <alignment horizontal="center" vertical="center"/>
    </xf>
    <xf numFmtId="0" fontId="5" fillId="2" borderId="2" applyAlignment="1" pivotButton="0" quotePrefix="0" xfId="0">
      <alignment horizontal="center" vertical="center"/>
    </xf>
    <xf numFmtId="0" fontId="11" fillId="2" borderId="2" applyAlignment="1" pivotButton="0" quotePrefix="0" xfId="0">
      <alignment horizontal="left" vertical="center"/>
    </xf>
    <xf numFmtId="0" fontId="5" fillId="8" borderId="0" applyAlignment="1" pivotButton="0" quotePrefix="0" xfId="0">
      <alignment horizontal="center" vertical="center"/>
    </xf>
    <xf numFmtId="164" fontId="5" fillId="8" borderId="0" applyAlignment="1" pivotButton="0" quotePrefix="0" xfId="0">
      <alignment horizontal="center" vertical="center" wrapText="1"/>
    </xf>
    <xf numFmtId="0" fontId="5" fillId="8" borderId="0" applyAlignment="1" pivotButton="0" quotePrefix="0" xfId="0">
      <alignment horizontal="center" vertical="center" wrapText="1"/>
    </xf>
    <xf numFmtId="0" fontId="5" fillId="8" borderId="0" applyAlignment="1" pivotButton="0" quotePrefix="0" xfId="0">
      <alignment horizontal="left" vertical="center"/>
    </xf>
    <xf numFmtId="0" fontId="19" fillId="0" borderId="0" applyAlignment="1" pivotButton="0" quotePrefix="0" xfId="0">
      <alignment horizontal="general" vertical="center"/>
    </xf>
    <xf numFmtId="0" fontId="5" fillId="0" borderId="0" applyAlignment="1" pivotButton="0" quotePrefix="0" xfId="0">
      <alignment horizontal="center" vertical="center" wrapText="1"/>
    </xf>
    <xf numFmtId="0" fontId="5" fillId="9" borderId="0" applyAlignment="1" pivotButton="0" quotePrefix="0" xfId="0">
      <alignment horizontal="center" vertical="bottom"/>
    </xf>
    <xf numFmtId="0" fontId="5" fillId="9" borderId="0" applyAlignment="1" pivotButton="0" quotePrefix="0" xfId="0">
      <alignment horizontal="left" vertical="bottom"/>
    </xf>
    <xf numFmtId="0" fontId="11" fillId="0" borderId="0" applyAlignment="1" pivotButton="0" quotePrefix="0" xfId="0">
      <alignment horizontal="general" vertical="center"/>
    </xf>
    <xf numFmtId="0" fontId="18" fillId="0" borderId="0" applyAlignment="1" pivotButton="0" quotePrefix="0" xfId="0">
      <alignment horizontal="left" vertical="center"/>
    </xf>
    <xf numFmtId="0" fontId="15" fillId="0" borderId="0" applyAlignment="1" pivotButton="0" quotePrefix="0" xfId="0">
      <alignment horizontal="center" vertical="center" wrapText="1"/>
    </xf>
    <xf numFmtId="0" fontId="15" fillId="0" borderId="0" applyAlignment="1" pivotButton="0" quotePrefix="0" xfId="0">
      <alignment horizontal="general" vertical="center"/>
    </xf>
    <xf numFmtId="0" fontId="20" fillId="0" borderId="0" applyAlignment="1" pivotButton="0" quotePrefix="0" xfId="0">
      <alignment horizontal="center" vertical="bottom" wrapText="1"/>
    </xf>
    <xf numFmtId="0" fontId="21" fillId="0" borderId="0" applyAlignment="1" pivotButton="0" quotePrefix="0" xfId="0">
      <alignment horizontal="general" vertical="bottom"/>
    </xf>
    <xf numFmtId="0" fontId="15" fillId="0" borderId="0" applyAlignment="1" pivotButton="0" quotePrefix="0" xfId="0">
      <alignment horizontal="left" vertical="center"/>
    </xf>
    <xf numFmtId="0" fontId="5" fillId="0" borderId="0" applyAlignment="1" pivotButton="0" quotePrefix="0" xfId="0">
      <alignment horizontal="left" vertical="center"/>
    </xf>
    <xf numFmtId="0" fontId="8" fillId="0" borderId="0" applyAlignment="1" pivotButton="0" quotePrefix="0" xfId="0">
      <alignment horizontal="general" vertical="center"/>
    </xf>
    <xf numFmtId="0" fontId="5" fillId="0" borderId="0" applyAlignment="1" pivotButton="0" quotePrefix="0" xfId="0">
      <alignment horizontal="general" vertical="center"/>
    </xf>
    <xf numFmtId="0" fontId="6" fillId="0" borderId="0" applyAlignment="1" pivotButton="0" quotePrefix="0" xfId="0">
      <alignment horizontal="general" vertical="bottom"/>
    </xf>
    <xf numFmtId="0" fontId="5" fillId="0" borderId="0" applyAlignment="1" pivotButton="0" quotePrefix="0" xfId="0">
      <alignment horizontal="center" vertical="bottom"/>
    </xf>
    <xf numFmtId="0" fontId="8" fillId="0" borderId="0" applyAlignment="1" pivotButton="0" quotePrefix="0" xfId="0">
      <alignment horizontal="general" vertical="bottom"/>
    </xf>
    <xf numFmtId="0" fontId="5" fillId="0" borderId="0" applyAlignment="1" pivotButton="0" quotePrefix="0" xfId="0">
      <alignment horizontal="left" vertical="bottom"/>
    </xf>
    <xf numFmtId="0" fontId="6" fillId="0" borderId="0" applyAlignment="1" pivotButton="0" quotePrefix="0" xfId="0">
      <alignment horizontal="left" vertical="bottom"/>
    </xf>
    <xf numFmtId="0" fontId="8" fillId="0" borderId="0" applyAlignment="1" pivotButton="0" quotePrefix="0" xfId="0">
      <alignment horizontal="left" vertical="center"/>
    </xf>
    <xf numFmtId="0" fontId="11" fillId="0" borderId="0" applyAlignment="1" pivotButton="0" quotePrefix="0" xfId="0">
      <alignment horizontal="left" vertical="center"/>
    </xf>
    <xf numFmtId="0" fontId="9" fillId="0" borderId="0" applyAlignment="1" pivotButton="0" quotePrefix="0" xfId="0">
      <alignment horizontal="left" vertical="center"/>
    </xf>
    <xf numFmtId="0" fontId="15" fillId="0" borderId="0" applyAlignment="1" pivotButton="0" quotePrefix="0" xfId="0">
      <alignment horizontal="general" vertical="bottom"/>
    </xf>
    <xf numFmtId="0" fontId="5" fillId="11" borderId="0" applyAlignment="1" pivotButton="0" quotePrefix="0" xfId="0">
      <alignment horizontal="general" vertical="bottom"/>
    </xf>
    <xf numFmtId="0" fontId="6" fillId="11" borderId="0" applyAlignment="1" pivotButton="0" quotePrefix="0" xfId="0">
      <alignment horizontal="general" vertical="bottom"/>
    </xf>
    <xf numFmtId="0" fontId="5" fillId="11" borderId="0" applyAlignment="1" pivotButton="0" quotePrefix="0" xfId="0">
      <alignment horizontal="center" vertical="bottom"/>
    </xf>
    <xf numFmtId="0" fontId="5" fillId="11" borderId="0" applyAlignment="1" pivotButton="0" quotePrefix="0" xfId="0">
      <alignment horizontal="center" vertical="center"/>
    </xf>
    <xf numFmtId="0" fontId="5" fillId="11" borderId="0" applyAlignment="1" pivotButton="0" quotePrefix="0" xfId="0">
      <alignment horizontal="center" vertical="center"/>
    </xf>
    <xf numFmtId="0" fontId="9" fillId="0" borderId="0" applyAlignment="1" pivotButton="0" quotePrefix="0" xfId="0">
      <alignment horizontal="general" vertical="bottom"/>
    </xf>
    <xf numFmtId="0" fontId="5" fillId="12" borderId="0" applyAlignment="1" pivotButton="0" quotePrefix="0" xfId="0">
      <alignment horizontal="left" vertical="bottom"/>
    </xf>
    <xf numFmtId="0" fontId="5" fillId="6" borderId="0" applyAlignment="1" pivotButton="0" quotePrefix="0" xfId="0">
      <alignment horizontal="general" vertical="bottom"/>
    </xf>
    <xf numFmtId="0" fontId="5" fillId="0" borderId="0" applyAlignment="1" pivotButton="0" quotePrefix="0" xfId="0">
      <alignment horizontal="center" vertical="bottom" wrapText="1"/>
    </xf>
    <xf numFmtId="0" fontId="24" fillId="0" borderId="0" applyAlignment="1" pivotButton="0" quotePrefix="0" xfId="0">
      <alignment horizontal="general" vertical="bottom"/>
    </xf>
    <xf numFmtId="0" fontId="5" fillId="6" borderId="0" applyAlignment="1" pivotButton="0" quotePrefix="0" xfId="0">
      <alignment horizontal="center" vertical="bottom"/>
    </xf>
    <xf numFmtId="0" fontId="6" fillId="6" borderId="0" applyAlignment="1" pivotButton="0" quotePrefix="0" xfId="0">
      <alignment horizontal="center" vertical="bottom"/>
    </xf>
    <xf numFmtId="0" fontId="5" fillId="7" borderId="0" applyAlignment="1" pivotButton="0" quotePrefix="0" xfId="0">
      <alignment horizontal="general" vertical="bottom"/>
    </xf>
    <xf numFmtId="0" fontId="8" fillId="7" borderId="0" applyAlignment="1" pivotButton="0" quotePrefix="0" xfId="0">
      <alignment horizontal="general" vertical="bottom"/>
    </xf>
    <xf numFmtId="0" fontId="22" fillId="0" borderId="0" applyAlignment="1" pivotButton="0" quotePrefix="0" xfId="0">
      <alignment horizontal="center" vertical="center"/>
    </xf>
    <xf numFmtId="0" fontId="6" fillId="12" borderId="0" applyAlignment="1" pivotButton="0" quotePrefix="0" xfId="0">
      <alignment horizontal="general" vertical="bottom"/>
    </xf>
    <xf numFmtId="0" fontId="25" fillId="0" borderId="0" applyAlignment="1" pivotButton="0" quotePrefix="0" xfId="0">
      <alignment horizontal="general" vertical="bottom"/>
    </xf>
    <xf numFmtId="0" fontId="5" fillId="13" borderId="0" applyAlignment="1" pivotButton="0" quotePrefix="0" xfId="0">
      <alignment horizontal="left" vertical="bottom"/>
    </xf>
    <xf numFmtId="0" fontId="6" fillId="13" borderId="0" applyAlignment="1" pivotButton="0" quotePrefix="0" xfId="0">
      <alignment horizontal="left" vertical="bottom"/>
    </xf>
    <xf numFmtId="0" fontId="5" fillId="13" borderId="0" applyAlignment="1" pivotButton="0" quotePrefix="0" xfId="0">
      <alignment horizontal="center" vertical="center"/>
    </xf>
    <xf numFmtId="0" fontId="5" fillId="13" borderId="0" applyAlignment="1" pivotButton="0" quotePrefix="0" xfId="0">
      <alignment horizontal="center" vertical="bottom"/>
    </xf>
    <xf numFmtId="0" fontId="8" fillId="13" borderId="0" applyAlignment="1" pivotButton="0" quotePrefix="0" xfId="0">
      <alignment horizontal="general" vertical="bottom"/>
    </xf>
    <xf numFmtId="0" fontId="5" fillId="13" borderId="0" applyAlignment="1" pivotButton="0" quotePrefix="0" xfId="0">
      <alignment horizontal="general" vertical="bottom"/>
    </xf>
    <xf numFmtId="0" fontId="6" fillId="0" borderId="0" applyAlignment="1" pivotButton="0" quotePrefix="0" xfId="0">
      <alignment horizontal="general" vertical="center"/>
    </xf>
    <xf numFmtId="0" fontId="5" fillId="6" borderId="0" applyAlignment="1" pivotButton="0" quotePrefix="0" xfId="0">
      <alignment horizontal="general" vertical="center"/>
    </xf>
    <xf numFmtId="0" fontId="8" fillId="6" borderId="0" applyAlignment="1" pivotButton="0" quotePrefix="0" xfId="0">
      <alignment horizontal="general" vertical="center"/>
    </xf>
    <xf numFmtId="0" fontId="11" fillId="0" borderId="0" applyAlignment="1" pivotButton="0" quotePrefix="0" xfId="0">
      <alignment horizontal="center" vertical="center"/>
    </xf>
    <xf numFmtId="0" fontId="11" fillId="0" borderId="0" applyAlignment="1" pivotButton="0" quotePrefix="0" xfId="0">
      <alignment horizontal="center" vertical="center" wrapText="1"/>
    </xf>
    <xf numFmtId="0" fontId="18" fillId="0" borderId="0" applyAlignment="1" pivotButton="0" quotePrefix="0" xfId="0">
      <alignment horizontal="general" vertical="center"/>
    </xf>
    <xf numFmtId="0" fontId="5" fillId="14" borderId="0" applyAlignment="1" pivotButton="0" quotePrefix="0" xfId="0">
      <alignment horizontal="general" vertical="center"/>
    </xf>
    <xf numFmtId="0" fontId="5" fillId="14" borderId="0" applyAlignment="1" pivotButton="0" quotePrefix="0" xfId="0">
      <alignment horizontal="center" vertical="center"/>
    </xf>
    <xf numFmtId="0" fontId="5" fillId="8" borderId="0" applyAlignment="1" pivotButton="0" quotePrefix="0" xfId="0">
      <alignment horizontal="center" vertical="center" wrapText="1"/>
    </xf>
    <xf numFmtId="164" fontId="5" fillId="8" borderId="0" applyAlignment="1" pivotButton="0" quotePrefix="0" xfId="0">
      <alignment horizontal="center" vertical="center"/>
    </xf>
    <xf numFmtId="0" fontId="19" fillId="0" borderId="0" applyAlignment="1" pivotButton="0" quotePrefix="0" xfId="0">
      <alignment horizontal="general" vertical="bottom"/>
    </xf>
    <xf numFmtId="0" fontId="9" fillId="0" borderId="0" applyAlignment="1" pivotButton="0" quotePrefix="0" xfId="0">
      <alignment horizontal="left" vertical="top"/>
    </xf>
    <xf numFmtId="0" fontId="11" fillId="11" borderId="0" applyAlignment="1" pivotButton="0" quotePrefix="0" xfId="0">
      <alignment horizontal="general" vertical="bottom"/>
    </xf>
    <xf numFmtId="0" fontId="18" fillId="11" borderId="0" applyAlignment="1" pivotButton="0" quotePrefix="0" xfId="0">
      <alignment horizontal="general" vertical="bottom"/>
    </xf>
    <xf numFmtId="0" fontId="8" fillId="11" borderId="0" applyAlignment="1" pivotButton="0" quotePrefix="0" xfId="0">
      <alignment horizontal="general" vertical="bottom"/>
    </xf>
    <xf numFmtId="0" fontId="8" fillId="6" borderId="0" applyAlignment="1" pivotButton="0" quotePrefix="0" xfId="0">
      <alignment horizontal="general" vertical="bottom"/>
    </xf>
    <xf numFmtId="0" fontId="26" fillId="0" borderId="0" applyAlignment="1" pivotButton="0" quotePrefix="0" xfId="0">
      <alignment horizontal="general" vertical="bottom"/>
    </xf>
    <xf numFmtId="0" fontId="15" fillId="12" borderId="0" applyAlignment="1" pivotButton="0" quotePrefix="0" xfId="0">
      <alignment horizontal="general" vertical="bottom"/>
    </xf>
    <xf numFmtId="0" fontId="5" fillId="7" borderId="0" applyAlignment="1" pivotButton="0" quotePrefix="0" xfId="0">
      <alignment horizontal="general" vertical="bottom" wrapText="1"/>
    </xf>
    <xf numFmtId="0" fontId="6" fillId="7" borderId="0" applyAlignment="1" pivotButton="0" quotePrefix="0" xfId="0">
      <alignment horizontal="general" vertical="bottom" wrapText="1"/>
    </xf>
    <xf numFmtId="0" fontId="5" fillId="12" borderId="0" applyAlignment="1" pivotButton="0" quotePrefix="0" xfId="0">
      <alignment horizontal="general" vertical="bottom"/>
    </xf>
    <xf numFmtId="0" fontId="15" fillId="0" borderId="0" applyAlignment="1" pivotButton="0" quotePrefix="0" xfId="0">
      <alignment horizontal="general" vertical="bottom" wrapText="1"/>
    </xf>
    <xf numFmtId="0" fontId="5" fillId="12" borderId="0" applyAlignment="1" pivotButton="0" quotePrefix="0" xfId="0">
      <alignment horizontal="center" vertical="bottom"/>
    </xf>
    <xf numFmtId="0" fontId="5" fillId="12" borderId="0" applyAlignment="1" pivotButton="0" quotePrefix="0" xfId="0">
      <alignment horizontal="center" vertical="center"/>
    </xf>
    <xf numFmtId="0" fontId="5" fillId="12" borderId="0" applyAlignment="1" pivotButton="0" quotePrefix="0" xfId="0">
      <alignment horizontal="center" vertical="center"/>
    </xf>
    <xf numFmtId="0" fontId="8" fillId="12" borderId="0" applyAlignment="1" pivotButton="0" quotePrefix="0" xfId="0">
      <alignment horizontal="general" vertical="bottom"/>
    </xf>
    <xf numFmtId="0" fontId="6" fillId="0" borderId="0" applyAlignment="1" pivotButton="0" quotePrefix="0" xfId="0">
      <alignment horizontal="general" vertical="bottom" wrapText="1"/>
    </xf>
    <xf numFmtId="0" fontId="27" fillId="0" borderId="0" applyAlignment="1" pivotButton="0" quotePrefix="0" xfId="0">
      <alignment horizontal="general" vertical="bottom" wrapText="1"/>
    </xf>
    <xf numFmtId="0" fontId="18" fillId="0" borderId="0" applyAlignment="1" pivotButton="0" quotePrefix="0" xfId="0">
      <alignment horizontal="general" vertical="bottom"/>
    </xf>
    <xf numFmtId="0" fontId="8" fillId="0" borderId="0" applyAlignment="1" pivotButton="0" quotePrefix="0" xfId="0">
      <alignment horizontal="left" vertical="bottom"/>
    </xf>
    <xf numFmtId="0" fontId="5" fillId="14" borderId="0" applyAlignment="1" pivotButton="0" quotePrefix="0" xfId="0">
      <alignment horizontal="general" vertical="bottom"/>
    </xf>
    <xf numFmtId="0" fontId="5" fillId="14" borderId="0" applyAlignment="1" pivotButton="0" quotePrefix="0" xfId="0">
      <alignment horizontal="center" vertical="bottom"/>
    </xf>
    <xf numFmtId="0" fontId="5" fillId="8" borderId="0" applyAlignment="1" pivotButton="0" quotePrefix="0" xfId="0">
      <alignment horizontal="center" vertical="bottom" wrapText="1"/>
    </xf>
    <xf numFmtId="0" fontId="5" fillId="8" borderId="0" applyAlignment="1" pivotButton="0" quotePrefix="0" xfId="0">
      <alignment horizontal="left" vertical="center" wrapText="1"/>
    </xf>
    <xf numFmtId="0" fontId="5" fillId="0" borderId="0" applyAlignment="1" pivotButton="0" quotePrefix="0" xfId="0">
      <alignment horizontal="general" vertical="top"/>
    </xf>
    <xf numFmtId="0" fontId="17" fillId="0" borderId="0" applyAlignment="1" pivotButton="0" quotePrefix="0" xfId="0">
      <alignment horizontal="general" vertical="bottom" wrapText="1"/>
    </xf>
    <xf numFmtId="0" fontId="5" fillId="5" borderId="0" applyAlignment="1" pivotButton="0" quotePrefix="0" xfId="0">
      <alignment horizontal="general" vertical="bottom"/>
    </xf>
    <xf numFmtId="0" fontId="6" fillId="6" borderId="0" applyAlignment="1" pivotButton="0" quotePrefix="0" xfId="0">
      <alignment horizontal="left" vertical="center"/>
    </xf>
    <xf numFmtId="0" fontId="28" fillId="0" borderId="0" applyAlignment="1" pivotButton="0" quotePrefix="0" xfId="0">
      <alignment horizontal="general" vertical="bottom" wrapText="1"/>
    </xf>
    <xf numFmtId="0" fontId="27" fillId="0" borderId="0" applyAlignment="1" pivotButton="0" quotePrefix="0" xfId="0">
      <alignment horizontal="general" vertical="bottom"/>
    </xf>
    <xf numFmtId="0" fontId="8" fillId="5" borderId="0" applyAlignment="1" pivotButton="0" quotePrefix="0" xfId="0">
      <alignment horizontal="general" vertical="bottom"/>
    </xf>
    <xf numFmtId="0" fontId="29" fillId="0" borderId="0" applyAlignment="1" pivotButton="0" quotePrefix="0" xfId="0">
      <alignment horizontal="general" vertical="bottom"/>
    </xf>
    <xf numFmtId="0" fontId="11" fillId="0" borderId="0" applyAlignment="1" pivotButton="0" quotePrefix="0" xfId="0">
      <alignment horizontal="left" vertical="bottom"/>
    </xf>
    <xf numFmtId="0" fontId="5" fillId="0" borderId="0" applyAlignment="1" pivotButton="0" quotePrefix="0" xfId="0">
      <alignment horizontal="center" vertical="center"/>
    </xf>
    <xf numFmtId="0" fontId="5" fillId="6" borderId="0" applyAlignment="1" pivotButton="0" quotePrefix="0" xfId="0">
      <alignment horizontal="left" vertical="bottom"/>
    </xf>
    <xf numFmtId="0" fontId="8" fillId="6" borderId="0" applyAlignment="1" pivotButton="0" quotePrefix="0" xfId="0">
      <alignment horizontal="left" vertical="bottom"/>
    </xf>
    <xf numFmtId="0" fontId="4" fillId="0" borderId="0" applyAlignment="1" pivotButton="0" quotePrefix="0" xfId="0">
      <alignment horizontal="general" vertical="bottom"/>
    </xf>
    <xf numFmtId="0" fontId="18" fillId="0" borderId="0" applyAlignment="1" pivotButton="0" quotePrefix="0" xfId="0">
      <alignment horizontal="left" vertical="bottom"/>
    </xf>
    <xf numFmtId="0" fontId="5" fillId="5" borderId="0" applyAlignment="1" pivotButton="0" quotePrefix="0" xfId="0">
      <alignment horizontal="general" vertical="bottom" wrapText="1"/>
    </xf>
    <xf numFmtId="0" fontId="11" fillId="6" borderId="0" applyAlignment="1" pivotButton="0" quotePrefix="0" xfId="0">
      <alignment horizontal="general" vertical="bottom"/>
    </xf>
    <xf numFmtId="0" fontId="11" fillId="7" borderId="0" applyAlignment="1" pivotButton="0" quotePrefix="0" xfId="0">
      <alignment horizontal="general" vertical="bottom"/>
    </xf>
    <xf numFmtId="0" fontId="18" fillId="7" borderId="0" applyAlignment="1" pivotButton="0" quotePrefix="0" xfId="0">
      <alignment horizontal="general" vertical="bottom"/>
    </xf>
    <xf numFmtId="0" fontId="5" fillId="6" borderId="0" applyAlignment="1" pivotButton="0" quotePrefix="0" xfId="0">
      <alignment horizontal="left" vertical="bottom" wrapText="1"/>
    </xf>
    <xf numFmtId="0" fontId="9" fillId="0" borderId="0" applyAlignment="1" pivotButton="0" quotePrefix="0" xfId="0">
      <alignment horizontal="left" vertical="bottom"/>
    </xf>
    <xf numFmtId="0" fontId="6" fillId="7" borderId="0" applyAlignment="1" pivotButton="0" quotePrefix="0" xfId="0">
      <alignment horizontal="left" vertical="bottom"/>
    </xf>
    <xf numFmtId="0" fontId="6" fillId="0" borderId="0" applyAlignment="1" pivotButton="0" quotePrefix="0" xfId="0">
      <alignment horizontal="left" vertical="bottom" wrapText="1"/>
    </xf>
    <xf numFmtId="0" fontId="5" fillId="7" borderId="0" applyAlignment="1" pivotButton="0" quotePrefix="0" xfId="0">
      <alignment horizontal="left" vertical="bottom"/>
    </xf>
    <xf numFmtId="0" fontId="8" fillId="7" borderId="0" applyAlignment="1" pivotButton="0" quotePrefix="0" xfId="0">
      <alignment horizontal="left" vertical="bottom"/>
    </xf>
    <xf numFmtId="164" fontId="4" fillId="8" borderId="0" applyAlignment="1" pivotButton="0" quotePrefix="0" xfId="0">
      <alignment horizontal="center" vertical="center"/>
    </xf>
    <xf numFmtId="164" fontId="4" fillId="8" borderId="0" applyAlignment="1" pivotButton="0" quotePrefix="0" xfId="0">
      <alignment horizontal="center" vertical="center" wrapText="1"/>
    </xf>
    <xf numFmtId="0" fontId="4" fillId="8" borderId="0" applyAlignment="1" pivotButton="0" quotePrefix="0" xfId="0">
      <alignment horizontal="center" vertical="center" wrapText="1"/>
    </xf>
    <xf numFmtId="0" fontId="4" fillId="8" borderId="0" applyAlignment="1" pivotButton="0" quotePrefix="0" xfId="0">
      <alignment horizontal="left" vertical="center"/>
    </xf>
    <xf numFmtId="0" fontId="4" fillId="8" borderId="0" applyAlignment="1" pivotButton="0" quotePrefix="0" xfId="0">
      <alignment horizontal="center" vertical="center"/>
    </xf>
    <xf numFmtId="0" fontId="19" fillId="0" borderId="0" applyAlignment="1" pivotButton="0" quotePrefix="0" xfId="0">
      <alignment horizontal="left" vertical="bottom"/>
    </xf>
    <xf numFmtId="0" fontId="5" fillId="0" borderId="0" applyAlignment="1" pivotButton="0" quotePrefix="0" xfId="0">
      <alignment horizontal="left" vertical="bottom" wrapText="1"/>
    </xf>
    <xf numFmtId="0" fontId="4" fillId="5" borderId="0" applyAlignment="1" pivotButton="0" quotePrefix="0" xfId="0">
      <alignment horizontal="left" vertical="bottom" wrapText="1"/>
    </xf>
    <xf numFmtId="0" fontId="11" fillId="0" borderId="0" applyAlignment="1" pivotButton="0" quotePrefix="0" xfId="0">
      <alignment horizontal="left" vertical="bottom" wrapText="1"/>
    </xf>
    <xf numFmtId="0" fontId="11" fillId="0" borderId="0" applyAlignment="1" pivotButton="0" quotePrefix="0" xfId="0">
      <alignment horizontal="center" vertical="bottom"/>
    </xf>
    <xf numFmtId="0" fontId="28" fillId="0" borderId="0" applyAlignment="1" pivotButton="0" quotePrefix="0" xfId="0">
      <alignment horizontal="left" vertical="bottom" wrapText="1"/>
    </xf>
    <xf numFmtId="0" fontId="8" fillId="12" borderId="0" applyAlignment="1" pivotButton="0" quotePrefix="0" xfId="0">
      <alignment horizontal="left" vertical="bottom"/>
    </xf>
    <xf numFmtId="0" fontId="26" fillId="0" borderId="0" applyAlignment="1" pivotButton="0" quotePrefix="0" xfId="0">
      <alignment horizontal="left" vertical="bottom"/>
    </xf>
    <xf numFmtId="0" fontId="31" fillId="0" borderId="0" applyAlignment="1" pivotButton="0" quotePrefix="0" xfId="0">
      <alignment horizontal="left" vertical="bottom"/>
    </xf>
    <xf numFmtId="0" fontId="6" fillId="0" borderId="0" applyAlignment="1" pivotButton="0" quotePrefix="0" xfId="0">
      <alignment horizontal="center" vertical="bottom"/>
    </xf>
    <xf numFmtId="0" fontId="29" fillId="0" borderId="0" applyAlignment="1" pivotButton="0" quotePrefix="0" xfId="0">
      <alignment horizontal="left" vertical="bottom"/>
    </xf>
    <xf numFmtId="0" fontId="15" fillId="2" borderId="0" applyAlignment="1" pivotButton="0" quotePrefix="0" xfId="0">
      <alignment horizontal="left" vertical="bottom" wrapText="1"/>
    </xf>
    <xf numFmtId="0" fontId="4" fillId="0" borderId="0" applyAlignment="1" pivotButton="0" quotePrefix="0" xfId="0">
      <alignment horizontal="left" vertical="bottom"/>
    </xf>
    <xf numFmtId="0" fontId="11" fillId="12" borderId="0" applyAlignment="1" pivotButton="0" quotePrefix="0" xfId="0">
      <alignment horizontal="center" vertical="center"/>
    </xf>
    <xf numFmtId="0" fontId="11" fillId="12" borderId="0" applyAlignment="1" pivotButton="0" quotePrefix="0" xfId="0">
      <alignment horizontal="left" vertical="center"/>
    </xf>
    <xf numFmtId="0" fontId="6" fillId="12" borderId="0" applyAlignment="1" pivotButton="0" quotePrefix="0" xfId="0">
      <alignment horizontal="left" vertical="bottom"/>
    </xf>
    <xf numFmtId="0" fontId="11" fillId="12" borderId="0" applyAlignment="1" pivotButton="0" quotePrefix="0" xfId="0">
      <alignment horizontal="left" vertical="bottom"/>
    </xf>
    <xf numFmtId="0" fontId="11" fillId="12" borderId="0" applyAlignment="1" pivotButton="0" quotePrefix="0" xfId="0">
      <alignment horizontal="general" vertical="bottom"/>
    </xf>
    <xf numFmtId="0" fontId="4" fillId="15" borderId="0" applyAlignment="1" pivotButton="0" quotePrefix="0" xfId="0">
      <alignment horizontal="general" vertical="bottom" wrapText="1"/>
    </xf>
    <xf numFmtId="0" fontId="5" fillId="0" borderId="0" applyAlignment="1" pivotButton="0" quotePrefix="0" xfId="0">
      <alignment horizontal="general" vertical="top" wrapText="1"/>
    </xf>
    <xf numFmtId="0" fontId="5" fillId="15" borderId="0" applyAlignment="1" pivotButton="0" quotePrefix="0" xfId="0">
      <alignment horizontal="left" vertical="bottom"/>
    </xf>
    <xf numFmtId="0" fontId="9" fillId="0" borderId="0" applyAlignment="1" pivotButton="0" quotePrefix="0" xfId="0">
      <alignment horizontal="left" vertical="center"/>
    </xf>
    <xf numFmtId="0" fontId="4" fillId="0" borderId="0" applyAlignment="1" pivotButton="0" quotePrefix="0" xfId="0">
      <alignment horizontal="general" vertical="top"/>
    </xf>
    <xf numFmtId="0" fontId="5" fillId="15" borderId="0" applyAlignment="1" pivotButton="0" quotePrefix="0" xfId="0">
      <alignment horizontal="left" vertical="center"/>
    </xf>
    <xf numFmtId="0" fontId="9" fillId="0" borderId="0" applyAlignment="1" pivotButton="0" quotePrefix="0" xfId="0">
      <alignment horizontal="general" vertical="bottom"/>
    </xf>
    <xf numFmtId="0" fontId="9" fillId="0" borderId="0" applyAlignment="1" pivotButton="0" quotePrefix="0" xfId="0">
      <alignment horizontal="left" vertical="bottom"/>
    </xf>
    <xf numFmtId="0" fontId="5" fillId="15" borderId="0" applyAlignment="1" pivotButton="0" quotePrefix="0" xfId="0">
      <alignment horizontal="left" vertical="bottom" wrapText="1"/>
    </xf>
    <xf numFmtId="0" fontId="5" fillId="15" borderId="0" applyAlignment="1" pivotButton="0" quotePrefix="0" xfId="0">
      <alignment horizontal="left" vertical="center" wrapText="1"/>
    </xf>
    <xf numFmtId="0" fontId="9" fillId="0" borderId="0" applyAlignment="1" pivotButton="0" quotePrefix="0" xfId="0">
      <alignment horizontal="left" vertical="top"/>
    </xf>
    <xf numFmtId="0" fontId="32" fillId="2" borderId="0" applyAlignment="1" pivotButton="0" quotePrefix="0" xfId="0">
      <alignment horizontal="left" vertical="bottom"/>
    </xf>
    <xf numFmtId="0" fontId="26" fillId="0" borderId="0" applyAlignment="1" pivotButton="0" quotePrefix="0" xfId="0">
      <alignment horizontal="left" vertical="bottom"/>
    </xf>
    <xf numFmtId="0" fontId="9" fillId="0" borderId="0" applyAlignment="1" pivotButton="0" quotePrefix="0" xfId="0">
      <alignment horizontal="general" vertical="top"/>
    </xf>
    <xf numFmtId="0" fontId="9" fillId="0" borderId="0" applyAlignment="1" pivotButton="0" quotePrefix="0" xfId="0">
      <alignment horizontal="general" vertical="top"/>
    </xf>
    <xf numFmtId="0" fontId="29" fillId="0" borderId="0" applyAlignment="1" pivotButton="0" quotePrefix="0" xfId="0">
      <alignment horizontal="left" vertical="bottom"/>
    </xf>
    <xf numFmtId="0" fontId="14" fillId="0" borderId="0" applyAlignment="1" pivotButton="0" quotePrefix="0" xfId="0">
      <alignment horizontal="left" vertical="bottom"/>
    </xf>
    <xf numFmtId="0" fontId="11" fillId="15" borderId="0" applyAlignment="1" pivotButton="0" quotePrefix="0" xfId="0">
      <alignment horizontal="left" vertical="center"/>
    </xf>
    <xf numFmtId="0" fontId="33" fillId="0" borderId="0" applyAlignment="1" pivotButton="0" quotePrefix="0" xfId="0">
      <alignment horizontal="center" vertical="bottom" wrapText="1"/>
    </xf>
    <xf numFmtId="0" fontId="11" fillId="5"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2" borderId="0" applyAlignment="1" pivotButton="0" quotePrefix="0" xfId="0">
      <alignment horizontal="left" vertical="center" wrapText="1"/>
    </xf>
    <xf numFmtId="0" fontId="5" fillId="2" borderId="0" applyAlignment="1" pivotButton="0" quotePrefix="0" xfId="0">
      <alignment horizontal="general" vertical="bottom" wrapText="1"/>
    </xf>
    <xf numFmtId="0" fontId="5" fillId="2" borderId="0" applyAlignment="1" pivotButton="0" quotePrefix="0" xfId="0">
      <alignment horizontal="general" vertical="bottom"/>
    </xf>
    <xf numFmtId="0" fontId="6" fillId="2" borderId="0" applyAlignment="1" pivotButton="0" quotePrefix="0" xfId="0">
      <alignment horizontal="center" vertical="bottom"/>
    </xf>
    <xf numFmtId="0" fontId="5" fillId="2" borderId="0" applyAlignment="1" pivotButton="0" quotePrefix="0" xfId="0">
      <alignment horizontal="left" vertical="center"/>
    </xf>
    <xf numFmtId="0" fontId="4" fillId="2" borderId="0" applyAlignment="1" pivotButton="0" quotePrefix="0" xfId="0">
      <alignment horizontal="general" vertical="bottom" wrapText="1"/>
    </xf>
    <xf numFmtId="0" fontId="6" fillId="2" borderId="0" applyAlignment="1" pivotButton="0" quotePrefix="0" xfId="0">
      <alignment horizontal="left" vertical="center" wrapText="1"/>
    </xf>
    <xf numFmtId="0" fontId="4" fillId="2" borderId="0" applyAlignment="1" pivotButton="0" quotePrefix="0" xfId="0">
      <alignment horizontal="left" vertical="center"/>
    </xf>
    <xf numFmtId="0" fontId="7" fillId="3" borderId="0" applyAlignment="1" pivotButton="0" quotePrefix="0" xfId="0">
      <alignment horizontal="general" vertical="bottom" wrapText="1"/>
    </xf>
    <xf numFmtId="0" fontId="5" fillId="2" borderId="0" applyAlignment="1" pivotButton="0" quotePrefix="0" xfId="0">
      <alignment horizontal="center" vertical="center"/>
    </xf>
    <xf numFmtId="0" fontId="6" fillId="2" borderId="0" applyAlignment="1" pivotButton="0" quotePrefix="0" xfId="0">
      <alignment horizontal="general" vertical="bottom"/>
    </xf>
    <xf numFmtId="0" fontId="8" fillId="2" borderId="0" applyAlignment="1" pivotButton="0" quotePrefix="0" xfId="0">
      <alignment horizontal="left" vertical="center" wrapText="1"/>
    </xf>
    <xf numFmtId="0" fontId="9" fillId="2" borderId="0" applyAlignment="1" pivotButton="0" quotePrefix="0" xfId="0">
      <alignment horizontal="left" vertical="center" wrapText="1"/>
    </xf>
    <xf numFmtId="0" fontId="4" fillId="0" borderId="0" applyAlignment="1" pivotButton="0" quotePrefix="0" xfId="0">
      <alignment horizontal="left" vertical="center"/>
    </xf>
    <xf numFmtId="0" fontId="5" fillId="0" borderId="0" applyAlignment="1" pivotButton="0" quotePrefix="0" xfId="0">
      <alignment horizontal="general" vertical="bottom"/>
    </xf>
    <xf numFmtId="0" fontId="10" fillId="2" borderId="0" applyAlignment="1" pivotButton="0" quotePrefix="0" xfId="0">
      <alignment horizontal="general" vertical="center" wrapText="1"/>
    </xf>
    <xf numFmtId="0" fontId="11" fillId="0" borderId="0" applyAlignment="1" pivotButton="0" quotePrefix="0" xfId="0">
      <alignment horizontal="general" vertical="bottom" wrapText="1"/>
    </xf>
    <xf numFmtId="0" fontId="12" fillId="4" borderId="0" applyAlignment="1" pivotButton="0" quotePrefix="0" xfId="0">
      <alignment horizontal="general" vertical="bottom" wrapText="1"/>
    </xf>
    <xf numFmtId="0" fontId="13" fillId="5" borderId="0" applyAlignment="1" pivotButton="0" quotePrefix="0" xfId="0">
      <alignment horizontal="left" vertical="center" wrapText="1"/>
    </xf>
    <xf numFmtId="0" fontId="12" fillId="0" borderId="0" applyAlignment="1" pivotButton="0" quotePrefix="0" xfId="0">
      <alignment horizontal="general" vertical="bottom" wrapText="1"/>
    </xf>
    <xf numFmtId="0" fontId="5" fillId="0" borderId="0" applyAlignment="1" pivotButton="0" quotePrefix="0" xfId="0">
      <alignment horizontal="general" vertical="bottom" wrapText="1"/>
    </xf>
    <xf numFmtId="0" fontId="12" fillId="0" borderId="0" applyAlignment="1" pivotButton="0" quotePrefix="0" xfId="0">
      <alignment horizontal="general" vertical="bottom"/>
    </xf>
    <xf numFmtId="0" fontId="14" fillId="0" borderId="0" applyAlignment="1" pivotButton="0" quotePrefix="0" xfId="0">
      <alignment horizontal="general" vertical="bottom"/>
    </xf>
    <xf numFmtId="0" fontId="11" fillId="0" borderId="0" applyAlignment="1" pivotButton="0" quotePrefix="0" xfId="0">
      <alignment horizontal="general" vertical="bottom"/>
    </xf>
    <xf numFmtId="0" fontId="9" fillId="0" borderId="0" applyAlignment="1" pivotButton="0" quotePrefix="0" xfId="0">
      <alignment horizontal="left" vertical="center" wrapText="1"/>
    </xf>
    <xf numFmtId="0" fontId="4" fillId="5" borderId="0" applyAlignment="1" pivotButton="0" quotePrefix="0" xfId="0">
      <alignment horizontal="left" vertical="center" wrapText="1"/>
    </xf>
    <xf numFmtId="0" fontId="10" fillId="2" borderId="0" applyAlignment="1" pivotButton="0" quotePrefix="0" xfId="0">
      <alignment horizontal="left" vertical="bottom"/>
    </xf>
    <xf numFmtId="0" fontId="5" fillId="2" borderId="0" applyAlignment="1" pivotButton="0" quotePrefix="0" xfId="0">
      <alignment horizontal="center" vertical="bottom"/>
    </xf>
    <xf numFmtId="0" fontId="4" fillId="2" borderId="0" applyAlignment="1" pivotButton="0" quotePrefix="0" xfId="0">
      <alignment horizontal="general" vertical="center"/>
    </xf>
    <xf numFmtId="0" fontId="5" fillId="2" borderId="0" applyAlignment="1" pivotButton="0" quotePrefix="0" xfId="0">
      <alignment horizontal="center" vertical="bottom" wrapText="1"/>
    </xf>
    <xf numFmtId="0" fontId="4" fillId="2" borderId="0" applyAlignment="1" pivotButton="0" quotePrefix="0" xfId="0">
      <alignment horizontal="general" vertical="center" wrapText="1"/>
    </xf>
    <xf numFmtId="0" fontId="8" fillId="2" borderId="1" applyAlignment="1" pivotButton="0" quotePrefix="0" xfId="0">
      <alignment horizontal="general" vertical="bottom" wrapText="1"/>
    </xf>
    <xf numFmtId="0" fontId="0" fillId="0" borderId="5" pivotButton="0" quotePrefix="0" xfId="0"/>
    <xf numFmtId="0" fontId="0" fillId="0" borderId="6" pivotButton="0" quotePrefix="0" xfId="0"/>
    <xf numFmtId="0" fontId="6" fillId="0" borderId="0" applyAlignment="1" pivotButton="0" quotePrefix="0" xfId="0">
      <alignment horizontal="left" vertical="top"/>
    </xf>
    <xf numFmtId="0" fontId="6" fillId="6" borderId="0" applyAlignment="1" pivotButton="0" quotePrefix="0" xfId="0">
      <alignment horizontal="general" vertical="bottom"/>
    </xf>
    <xf numFmtId="0" fontId="6" fillId="7" borderId="0" applyAlignment="1" pivotButton="0" quotePrefix="0" xfId="0">
      <alignment horizontal="general" vertical="bottom"/>
    </xf>
    <xf numFmtId="0" fontId="6" fillId="5" borderId="0" applyAlignment="1" pivotButton="0" quotePrefix="0" xfId="0">
      <alignment horizontal="general" vertical="bottom"/>
    </xf>
    <xf numFmtId="0" fontId="8" fillId="2" borderId="0" applyAlignment="1" pivotButton="0" quotePrefix="0" xfId="0">
      <alignment horizontal="general" vertical="bottom"/>
    </xf>
    <xf numFmtId="0" fontId="15" fillId="2" borderId="0" applyAlignment="1" pivotButton="0" quotePrefix="0" xfId="0">
      <alignment horizontal="general" vertical="bottom" wrapText="1"/>
    </xf>
    <xf numFmtId="0" fontId="4" fillId="0" borderId="0" applyAlignment="1" pivotButton="0" quotePrefix="0" xfId="0">
      <alignment horizontal="general" vertical="center"/>
    </xf>
    <xf numFmtId="0" fontId="16" fillId="0" borderId="0" applyAlignment="1" pivotButton="0" quotePrefix="0" xfId="0">
      <alignment horizontal="left" vertical="bottom" wrapText="1"/>
    </xf>
    <xf numFmtId="0" fontId="17" fillId="0" borderId="0" applyAlignment="1" pivotButton="0" quotePrefix="0" xfId="0">
      <alignment horizontal="left" vertical="bottom" wrapText="1"/>
    </xf>
    <xf numFmtId="0" fontId="5" fillId="0" borderId="0" applyAlignment="1" pivotButton="0" quotePrefix="0" xfId="0">
      <alignment horizontal="left" vertical="bottom" wrapText="1"/>
    </xf>
    <xf numFmtId="0" fontId="11" fillId="8" borderId="0" applyAlignment="1" pivotButton="0" quotePrefix="0" xfId="0">
      <alignment horizontal="general" vertical="bottom" wrapText="1"/>
    </xf>
    <xf numFmtId="0" fontId="5" fillId="8" borderId="0" applyAlignment="1" pivotButton="0" quotePrefix="0" xfId="0">
      <alignment horizontal="general" vertical="bottom" wrapText="1"/>
    </xf>
    <xf numFmtId="0" fontId="18" fillId="0" borderId="0" applyAlignment="1" pivotButton="0" quotePrefix="0" xfId="0">
      <alignment horizontal="general" vertical="bottom" wrapText="1"/>
    </xf>
    <xf numFmtId="0" fontId="17" fillId="8" borderId="0" applyAlignment="1" pivotButton="0" quotePrefix="0" xfId="0">
      <alignment horizontal="general" vertical="bottom" wrapText="1"/>
    </xf>
    <xf numFmtId="0" fontId="0" fillId="0" borderId="2" applyAlignment="1" pivotButton="0" quotePrefix="0" xfId="0">
      <alignment horizontal="general" vertical="bottom"/>
    </xf>
    <xf numFmtId="0" fontId="5" fillId="8" borderId="2" applyAlignment="1" pivotButton="0" quotePrefix="0" xfId="0">
      <alignment horizontal="center" vertical="center"/>
    </xf>
    <xf numFmtId="164" fontId="5" fillId="8" borderId="2" applyAlignment="1" pivotButton="0" quotePrefix="0" xfId="0">
      <alignment horizontal="center" vertical="center" wrapText="1"/>
    </xf>
    <xf numFmtId="0" fontId="5" fillId="8" borderId="2" applyAlignment="1" pivotButton="0" quotePrefix="0" xfId="0">
      <alignment horizontal="center" vertical="center" wrapText="1"/>
    </xf>
    <xf numFmtId="0" fontId="5" fillId="8" borderId="2" applyAlignment="1" pivotButton="0" quotePrefix="0" xfId="0">
      <alignment horizontal="left" vertical="center" wrapText="1"/>
    </xf>
    <xf numFmtId="0" fontId="5" fillId="8" borderId="2" applyAlignment="1" pivotButton="0" quotePrefix="0" xfId="0">
      <alignment horizontal="left" vertical="center"/>
    </xf>
    <xf numFmtId="0" fontId="19" fillId="0" borderId="2" applyAlignment="1" pivotButton="0" quotePrefix="0" xfId="0">
      <alignment horizontal="general" vertical="center"/>
    </xf>
    <xf numFmtId="0" fontId="5" fillId="0" borderId="2" applyAlignment="1" pivotButton="0" quotePrefix="0" xfId="0">
      <alignment horizontal="center" vertical="center" wrapText="1"/>
    </xf>
    <xf numFmtId="0" fontId="5" fillId="9" borderId="2" applyAlignment="1" pivotButton="0" quotePrefix="0" xfId="0">
      <alignment horizontal="center" vertical="bottom"/>
    </xf>
    <xf numFmtId="0" fontId="5" fillId="9" borderId="2" applyAlignment="1" pivotButton="0" quotePrefix="0" xfId="0">
      <alignment horizontal="center" vertical="center"/>
    </xf>
    <xf numFmtId="0" fontId="5" fillId="9" borderId="2" applyAlignment="1" pivotButton="0" quotePrefix="0" xfId="0">
      <alignment horizontal="left" vertical="bottom"/>
    </xf>
    <xf numFmtId="0" fontId="11" fillId="0" borderId="2" applyAlignment="1" pivotButton="0" quotePrefix="0" xfId="0">
      <alignment horizontal="general" vertical="center"/>
    </xf>
    <xf numFmtId="0" fontId="11" fillId="0" borderId="2" applyAlignment="1" pivotButton="0" quotePrefix="0" xfId="0">
      <alignment horizontal="left" vertical="center" wrapText="1"/>
    </xf>
    <xf numFmtId="0" fontId="15" fillId="0" borderId="2" applyAlignment="1" pivotButton="0" quotePrefix="0" xfId="0">
      <alignment horizontal="center" vertical="center" wrapText="1"/>
    </xf>
    <xf numFmtId="0" fontId="15" fillId="0" borderId="2" applyAlignment="1" pivotButton="0" quotePrefix="0" xfId="0">
      <alignment horizontal="general" vertical="center"/>
    </xf>
    <xf numFmtId="0" fontId="20" fillId="0" borderId="2" applyAlignment="1" pivotButton="0" quotePrefix="0" xfId="0">
      <alignment horizontal="center" vertical="center" wrapText="1"/>
    </xf>
    <xf numFmtId="0" fontId="21" fillId="0" borderId="2" applyAlignment="1" pivotButton="0" quotePrefix="0" xfId="0">
      <alignment horizontal="general" vertical="bottom"/>
    </xf>
    <xf numFmtId="0" fontId="15" fillId="0" borderId="2" applyAlignment="1" pivotButton="0" quotePrefix="0" xfId="0">
      <alignment horizontal="left" vertical="center" wrapText="1"/>
    </xf>
    <xf numFmtId="0" fontId="15" fillId="0" borderId="2" applyAlignment="1" pivotButton="0" quotePrefix="0" xfId="0">
      <alignment horizontal="left" vertical="center"/>
    </xf>
    <xf numFmtId="0" fontId="5" fillId="0" borderId="2" applyAlignment="1" pivotButton="0" quotePrefix="0" xfId="0">
      <alignment horizontal="left" vertical="center"/>
    </xf>
    <xf numFmtId="0" fontId="5" fillId="0" borderId="2" applyAlignment="1" pivotButton="0" quotePrefix="0" xfId="0">
      <alignment horizontal="general" vertical="center" wrapText="1"/>
    </xf>
    <xf numFmtId="0" fontId="5" fillId="0" borderId="2" applyAlignment="1" pivotButton="0" quotePrefix="0" xfId="0">
      <alignment horizontal="general" vertical="center"/>
    </xf>
    <xf numFmtId="0" fontId="5" fillId="0" borderId="2" applyAlignment="1" pivotButton="0" quotePrefix="0" xfId="0">
      <alignment horizontal="general" vertical="bottom"/>
    </xf>
    <xf numFmtId="0" fontId="6" fillId="0" borderId="2" applyAlignment="1" pivotButton="0" quotePrefix="0" xfId="0">
      <alignment horizontal="general" vertical="bottom" wrapText="1"/>
    </xf>
    <xf numFmtId="0" fontId="5" fillId="0" borderId="2" applyAlignment="1" pivotButton="0" quotePrefix="0" xfId="0">
      <alignment horizontal="center" vertical="bottom"/>
    </xf>
    <xf numFmtId="0" fontId="6" fillId="0" borderId="2" applyAlignment="1" pivotButton="0" quotePrefix="0" xfId="0">
      <alignment horizontal="general" vertical="bottom"/>
    </xf>
    <xf numFmtId="0" fontId="5" fillId="0" borderId="2" applyAlignment="1" pivotButton="0" quotePrefix="0" xfId="0">
      <alignment horizontal="general" vertical="bottom" wrapText="1"/>
    </xf>
    <xf numFmtId="0" fontId="5" fillId="0" borderId="2" applyAlignment="1" pivotButton="0" quotePrefix="0" xfId="0">
      <alignment horizontal="left" vertical="bottom"/>
    </xf>
    <xf numFmtId="0" fontId="11" fillId="0" borderId="2" applyAlignment="1" pivotButton="0" quotePrefix="0" xfId="0">
      <alignment horizontal="left" vertical="center"/>
    </xf>
    <xf numFmtId="0" fontId="11" fillId="0" borderId="2" applyAlignment="1" pivotButton="0" quotePrefix="0" xfId="0">
      <alignment horizontal="general" vertical="bottom" wrapText="1"/>
    </xf>
    <xf numFmtId="0" fontId="20" fillId="0" borderId="2" applyAlignment="1" pivotButton="0" quotePrefix="0" xfId="0">
      <alignment horizontal="general" vertical="bottom" wrapText="1"/>
    </xf>
    <xf numFmtId="0" fontId="9" fillId="0" borderId="2" applyAlignment="1" pivotButton="0" quotePrefix="0" xfId="0">
      <alignment horizontal="left" vertical="center"/>
    </xf>
    <xf numFmtId="0" fontId="5" fillId="0" borderId="2" applyAlignment="1" pivotButton="0" quotePrefix="0" xfId="0">
      <alignment horizontal="center" vertical="bottom" wrapText="1"/>
    </xf>
    <xf numFmtId="0" fontId="5" fillId="2" borderId="2" applyAlignment="1" pivotButton="0" quotePrefix="0" xfId="0">
      <alignment horizontal="general" vertical="bottom"/>
    </xf>
    <xf numFmtId="0" fontId="5" fillId="2" borderId="2" applyAlignment="1" pivotButton="0" quotePrefix="0" xfId="0">
      <alignment horizontal="center" vertical="bottom" wrapText="1"/>
    </xf>
    <xf numFmtId="0" fontId="5" fillId="2" borderId="2" applyAlignment="1" pivotButton="0" quotePrefix="0" xfId="0">
      <alignment horizontal="center" vertical="bottom"/>
    </xf>
    <xf numFmtId="0" fontId="5" fillId="2" borderId="2" applyAlignment="1" pivotButton="0" quotePrefix="0" xfId="0">
      <alignment horizontal="center" vertical="center"/>
    </xf>
    <xf numFmtId="0" fontId="5" fillId="2" borderId="2" applyAlignment="1" pivotButton="0" quotePrefix="0" xfId="0">
      <alignment horizontal="center" vertical="center" wrapText="1"/>
    </xf>
    <xf numFmtId="0" fontId="6" fillId="2" borderId="2" applyAlignment="1" pivotButton="0" quotePrefix="0" xfId="0">
      <alignment horizontal="general" vertical="bottom"/>
    </xf>
    <xf numFmtId="0" fontId="5" fillId="2" borderId="2" applyAlignment="1" pivotButton="0" quotePrefix="0" xfId="0">
      <alignment horizontal="left" vertical="bottom"/>
    </xf>
    <xf numFmtId="0" fontId="9" fillId="2" borderId="2" applyAlignment="1" pivotButton="0" quotePrefix="0" xfId="0">
      <alignment horizontal="general" vertical="bottom"/>
    </xf>
    <xf numFmtId="0" fontId="5" fillId="2" borderId="2" applyAlignment="1" pivotButton="0" quotePrefix="0" xfId="0">
      <alignment horizontal="left" vertical="center" wrapText="1"/>
    </xf>
    <xf numFmtId="0" fontId="5" fillId="2" borderId="2" applyAlignment="1" pivotButton="0" quotePrefix="0" xfId="0">
      <alignment horizontal="left" vertical="center"/>
    </xf>
    <xf numFmtId="0" fontId="15" fillId="2" borderId="2" applyAlignment="1" pivotButton="0" quotePrefix="0" xfId="0">
      <alignment horizontal="general" vertical="bottom"/>
    </xf>
    <xf numFmtId="0" fontId="6" fillId="2" borderId="2" applyAlignment="1" pivotButton="0" quotePrefix="0" xfId="0">
      <alignment horizontal="general" vertical="bottom" wrapText="1"/>
    </xf>
    <xf numFmtId="0" fontId="6" fillId="2" borderId="2" applyAlignment="1" pivotButton="0" quotePrefix="0" xfId="0">
      <alignment horizontal="center" vertical="bottom"/>
    </xf>
    <xf numFmtId="0" fontId="22" fillId="2" borderId="2" applyAlignment="1" pivotButton="0" quotePrefix="0" xfId="0">
      <alignment horizontal="center" vertical="center"/>
    </xf>
    <xf numFmtId="0" fontId="5" fillId="2" borderId="2" applyAlignment="1" pivotButton="0" quotePrefix="0" xfId="0">
      <alignment horizontal="general" vertical="bottom" wrapText="1"/>
    </xf>
    <xf numFmtId="0" fontId="5" fillId="2" borderId="2" applyAlignment="1" pivotButton="0" quotePrefix="0" xfId="0">
      <alignment horizontal="left" vertical="bottom" wrapText="1"/>
    </xf>
    <xf numFmtId="0" fontId="15" fillId="2" borderId="2" applyAlignment="1" pivotButton="0" quotePrefix="0" xfId="0">
      <alignment horizontal="left" vertical="bottom" wrapText="1"/>
    </xf>
    <xf numFmtId="0" fontId="15" fillId="2" borderId="2" applyAlignment="1" pivotButton="0" quotePrefix="0" xfId="0">
      <alignment horizontal="general" vertical="bottom" wrapText="1"/>
    </xf>
    <xf numFmtId="0" fontId="23" fillId="0" borderId="2" applyAlignment="1" pivotButton="0" quotePrefix="0" xfId="0">
      <alignment horizontal="general" vertical="bottom" wrapText="1"/>
    </xf>
    <xf numFmtId="0" fontId="6" fillId="2" borderId="2" applyAlignment="1" pivotButton="0" quotePrefix="0" xfId="0">
      <alignment horizontal="left" vertical="bottom" wrapText="1"/>
    </xf>
    <xf numFmtId="0" fontId="5" fillId="10" borderId="2" applyAlignment="1" pivotButton="0" quotePrefix="0" xfId="0">
      <alignment horizontal="left" vertical="bottom"/>
    </xf>
    <xf numFmtId="0" fontId="6" fillId="10" borderId="2" applyAlignment="1" pivotButton="0" quotePrefix="0" xfId="0">
      <alignment horizontal="left" vertical="bottom"/>
    </xf>
    <xf numFmtId="0" fontId="5" fillId="10" borderId="2" applyAlignment="1" pivotButton="0" quotePrefix="0" xfId="0">
      <alignment horizontal="center" vertical="center"/>
    </xf>
    <xf numFmtId="0" fontId="5" fillId="10" borderId="2" applyAlignment="1" pivotButton="0" quotePrefix="0" xfId="0">
      <alignment horizontal="center" vertical="bottom"/>
    </xf>
    <xf numFmtId="0" fontId="5" fillId="10" borderId="2" applyAlignment="1" pivotButton="0" quotePrefix="0" xfId="0">
      <alignment horizontal="general" vertical="bottom"/>
    </xf>
    <xf numFmtId="0" fontId="8" fillId="2" borderId="2" applyAlignment="1" pivotButton="0" quotePrefix="0" xfId="0">
      <alignment horizontal="general" vertical="bottom"/>
    </xf>
    <xf numFmtId="0" fontId="5" fillId="2" borderId="2" applyAlignment="1" pivotButton="0" quotePrefix="0" xfId="0">
      <alignment horizontal="general" vertical="center"/>
    </xf>
    <xf numFmtId="0" fontId="6" fillId="2" borderId="2" applyAlignment="1" pivotButton="0" quotePrefix="0" xfId="0">
      <alignment horizontal="general" vertical="center" wrapText="1"/>
    </xf>
    <xf numFmtId="0" fontId="9" fillId="2" borderId="2" applyAlignment="1" pivotButton="0" quotePrefix="0" xfId="0">
      <alignment horizontal="left" vertical="center"/>
    </xf>
    <xf numFmtId="0" fontId="8" fillId="2" borderId="2" applyAlignment="1" pivotButton="0" quotePrefix="0" xfId="0">
      <alignment horizontal="general" vertical="bottom" wrapText="1"/>
    </xf>
    <xf numFmtId="0" fontId="0" fillId="8" borderId="2" applyAlignment="1" pivotButton="0" quotePrefix="0" xfId="0">
      <alignment horizontal="general" vertical="bottom"/>
    </xf>
    <xf numFmtId="0" fontId="5" fillId="8" borderId="2" applyAlignment="1" pivotButton="0" quotePrefix="0" xfId="0">
      <alignment horizontal="general" vertical="bottom"/>
    </xf>
    <xf numFmtId="0" fontId="11" fillId="2" borderId="2" applyAlignment="1" pivotButton="0" quotePrefix="0" xfId="0">
      <alignment horizontal="general" vertical="center"/>
    </xf>
    <xf numFmtId="0" fontId="11" fillId="2" borderId="2" applyAlignment="1" pivotButton="0" quotePrefix="0" xfId="0">
      <alignment horizontal="center" vertical="center"/>
    </xf>
    <xf numFmtId="0" fontId="0" fillId="0" borderId="9" pivotButton="0" quotePrefix="0" xfId="0"/>
    <xf numFmtId="0" fontId="0" fillId="0" borderId="10" pivotButton="0" quotePrefix="0" xfId="0"/>
    <xf numFmtId="0" fontId="11" fillId="2" borderId="2" applyAlignment="1" pivotButton="0" quotePrefix="0" xfId="0">
      <alignment horizontal="left" vertical="center"/>
    </xf>
    <xf numFmtId="0" fontId="5" fillId="8" borderId="0" applyAlignment="1" pivotButton="0" quotePrefix="0" xfId="0">
      <alignment horizontal="center" vertical="center"/>
    </xf>
    <xf numFmtId="164" fontId="5" fillId="8" borderId="0" applyAlignment="1" pivotButton="0" quotePrefix="0" xfId="0">
      <alignment horizontal="center" vertical="center" wrapText="1"/>
    </xf>
    <xf numFmtId="0" fontId="5" fillId="8" borderId="0" applyAlignment="1" pivotButton="0" quotePrefix="0" xfId="0">
      <alignment horizontal="center" vertical="center" wrapText="1"/>
    </xf>
    <xf numFmtId="0" fontId="5" fillId="8" borderId="0" applyAlignment="1" pivotButton="0" quotePrefix="0" xfId="0">
      <alignment horizontal="left" vertical="center"/>
    </xf>
    <xf numFmtId="0" fontId="19" fillId="0" borderId="0" applyAlignment="1" pivotButton="0" quotePrefix="0" xfId="0">
      <alignment horizontal="general" vertical="center"/>
    </xf>
    <xf numFmtId="0" fontId="5" fillId="0" borderId="0" applyAlignment="1" pivotButton="0" quotePrefix="0" xfId="0">
      <alignment horizontal="center" vertical="center" wrapText="1"/>
    </xf>
    <xf numFmtId="0" fontId="5" fillId="9" borderId="0" applyAlignment="1" pivotButton="0" quotePrefix="0" xfId="0">
      <alignment horizontal="center" vertical="bottom"/>
    </xf>
    <xf numFmtId="0" fontId="5" fillId="9" borderId="0" applyAlignment="1" pivotButton="0" quotePrefix="0" xfId="0">
      <alignment horizontal="left" vertical="bottom"/>
    </xf>
    <xf numFmtId="0" fontId="11" fillId="0" borderId="0" applyAlignment="1" pivotButton="0" quotePrefix="0" xfId="0">
      <alignment horizontal="general" vertical="center"/>
    </xf>
    <xf numFmtId="0" fontId="18" fillId="0" borderId="0" applyAlignment="1" pivotButton="0" quotePrefix="0" xfId="0">
      <alignment horizontal="left" vertical="center"/>
    </xf>
    <xf numFmtId="0" fontId="15" fillId="0" borderId="0" applyAlignment="1" pivotButton="0" quotePrefix="0" xfId="0">
      <alignment horizontal="center" vertical="center" wrapText="1"/>
    </xf>
    <xf numFmtId="0" fontId="15" fillId="0" borderId="0" applyAlignment="1" pivotButton="0" quotePrefix="0" xfId="0">
      <alignment horizontal="general" vertical="center"/>
    </xf>
    <xf numFmtId="0" fontId="20" fillId="0" borderId="0" applyAlignment="1" pivotButton="0" quotePrefix="0" xfId="0">
      <alignment horizontal="center" vertical="bottom" wrapText="1"/>
    </xf>
    <xf numFmtId="0" fontId="21" fillId="0" borderId="0" applyAlignment="1" pivotButton="0" quotePrefix="0" xfId="0">
      <alignment horizontal="general" vertical="bottom"/>
    </xf>
    <xf numFmtId="0" fontId="15" fillId="0" borderId="0" applyAlignment="1" pivotButton="0" quotePrefix="0" xfId="0">
      <alignment horizontal="left" vertical="center"/>
    </xf>
    <xf numFmtId="0" fontId="5" fillId="0" borderId="0" applyAlignment="1" pivotButton="0" quotePrefix="0" xfId="0">
      <alignment horizontal="left" vertical="center"/>
    </xf>
    <xf numFmtId="0" fontId="8" fillId="0" borderId="0" applyAlignment="1" pivotButton="0" quotePrefix="0" xfId="0">
      <alignment horizontal="general" vertical="center"/>
    </xf>
    <xf numFmtId="0" fontId="5" fillId="0" borderId="0" applyAlignment="1" pivotButton="0" quotePrefix="0" xfId="0">
      <alignment horizontal="general" vertical="center"/>
    </xf>
    <xf numFmtId="0" fontId="6" fillId="0" borderId="0" applyAlignment="1" pivotButton="0" quotePrefix="0" xfId="0">
      <alignment horizontal="general" vertical="bottom"/>
    </xf>
    <xf numFmtId="0" fontId="5" fillId="0" borderId="0" applyAlignment="1" pivotButton="0" quotePrefix="0" xfId="0">
      <alignment horizontal="center" vertical="bottom"/>
    </xf>
    <xf numFmtId="0" fontId="8" fillId="0" borderId="0" applyAlignment="1" pivotButton="0" quotePrefix="0" xfId="0">
      <alignment horizontal="general" vertical="bottom"/>
    </xf>
    <xf numFmtId="0" fontId="5" fillId="0" borderId="0" applyAlignment="1" pivotButton="0" quotePrefix="0" xfId="0">
      <alignment horizontal="left" vertical="bottom"/>
    </xf>
    <xf numFmtId="0" fontId="6" fillId="0" borderId="0" applyAlignment="1" pivotButton="0" quotePrefix="0" xfId="0">
      <alignment horizontal="left" vertical="bottom"/>
    </xf>
    <xf numFmtId="0" fontId="8" fillId="0" borderId="0" applyAlignment="1" pivotButton="0" quotePrefix="0" xfId="0">
      <alignment horizontal="left" vertical="center"/>
    </xf>
    <xf numFmtId="0" fontId="11" fillId="0" borderId="0" applyAlignment="1" pivotButton="0" quotePrefix="0" xfId="0">
      <alignment horizontal="left" vertical="center"/>
    </xf>
    <xf numFmtId="0" fontId="9" fillId="0" borderId="0" applyAlignment="1" pivotButton="0" quotePrefix="0" xfId="0">
      <alignment horizontal="left" vertical="center"/>
    </xf>
    <xf numFmtId="0" fontId="15" fillId="0" borderId="0" applyAlignment="1" pivotButton="0" quotePrefix="0" xfId="0">
      <alignment horizontal="general" vertical="bottom"/>
    </xf>
    <xf numFmtId="0" fontId="5" fillId="11" borderId="0" applyAlignment="1" pivotButton="0" quotePrefix="0" xfId="0">
      <alignment horizontal="general" vertical="bottom"/>
    </xf>
    <xf numFmtId="0" fontId="6" fillId="11" borderId="0" applyAlignment="1" pivotButton="0" quotePrefix="0" xfId="0">
      <alignment horizontal="general" vertical="bottom"/>
    </xf>
    <xf numFmtId="0" fontId="5" fillId="11" borderId="0" applyAlignment="1" pivotButton="0" quotePrefix="0" xfId="0">
      <alignment horizontal="center" vertical="bottom"/>
    </xf>
    <xf numFmtId="0" fontId="5" fillId="11" borderId="0" applyAlignment="1" pivotButton="0" quotePrefix="0" xfId="0">
      <alignment horizontal="center" vertical="center"/>
    </xf>
    <xf numFmtId="0" fontId="9" fillId="0" borderId="0" applyAlignment="1" pivotButton="0" quotePrefix="0" xfId="0">
      <alignment horizontal="general" vertical="bottom"/>
    </xf>
    <xf numFmtId="0" fontId="5" fillId="12" borderId="0" applyAlignment="1" pivotButton="0" quotePrefix="0" xfId="0">
      <alignment horizontal="left" vertical="bottom"/>
    </xf>
    <xf numFmtId="0" fontId="5" fillId="6" borderId="0" applyAlignment="1" pivotButton="0" quotePrefix="0" xfId="0">
      <alignment horizontal="general" vertical="bottom"/>
    </xf>
    <xf numFmtId="0" fontId="5" fillId="0" borderId="0" applyAlignment="1" pivotButton="0" quotePrefix="0" xfId="0">
      <alignment horizontal="center" vertical="bottom" wrapText="1"/>
    </xf>
    <xf numFmtId="0" fontId="24" fillId="0" borderId="0" applyAlignment="1" pivotButton="0" quotePrefix="0" xfId="0">
      <alignment horizontal="general" vertical="bottom"/>
    </xf>
    <xf numFmtId="0" fontId="5" fillId="6" borderId="0" applyAlignment="1" pivotButton="0" quotePrefix="0" xfId="0">
      <alignment horizontal="center" vertical="bottom"/>
    </xf>
    <xf numFmtId="0" fontId="6" fillId="6" borderId="0" applyAlignment="1" pivotButton="0" quotePrefix="0" xfId="0">
      <alignment horizontal="center" vertical="bottom"/>
    </xf>
    <xf numFmtId="0" fontId="5" fillId="7" borderId="0" applyAlignment="1" pivotButton="0" quotePrefix="0" xfId="0">
      <alignment horizontal="general" vertical="bottom"/>
    </xf>
    <xf numFmtId="0" fontId="8" fillId="7" borderId="0" applyAlignment="1" pivotButton="0" quotePrefix="0" xfId="0">
      <alignment horizontal="general" vertical="bottom"/>
    </xf>
    <xf numFmtId="0" fontId="22" fillId="0" borderId="0" applyAlignment="1" pivotButton="0" quotePrefix="0" xfId="0">
      <alignment horizontal="center" vertical="center"/>
    </xf>
    <xf numFmtId="0" fontId="6" fillId="12" borderId="0" applyAlignment="1" pivotButton="0" quotePrefix="0" xfId="0">
      <alignment horizontal="general" vertical="bottom"/>
    </xf>
    <xf numFmtId="0" fontId="25" fillId="0" borderId="0" applyAlignment="1" pivotButton="0" quotePrefix="0" xfId="0">
      <alignment horizontal="general" vertical="bottom"/>
    </xf>
    <xf numFmtId="0" fontId="5" fillId="13" borderId="0" applyAlignment="1" pivotButton="0" quotePrefix="0" xfId="0">
      <alignment horizontal="left" vertical="bottom"/>
    </xf>
    <xf numFmtId="0" fontId="6" fillId="13" borderId="0" applyAlignment="1" pivotButton="0" quotePrefix="0" xfId="0">
      <alignment horizontal="left" vertical="bottom"/>
    </xf>
    <xf numFmtId="0" fontId="5" fillId="13" borderId="0" applyAlignment="1" pivotButton="0" quotePrefix="0" xfId="0">
      <alignment horizontal="center" vertical="center"/>
    </xf>
    <xf numFmtId="0" fontId="5" fillId="13" borderId="0" applyAlignment="1" pivotButton="0" quotePrefix="0" xfId="0">
      <alignment horizontal="center" vertical="bottom"/>
    </xf>
    <xf numFmtId="0" fontId="8" fillId="13" borderId="0" applyAlignment="1" pivotButton="0" quotePrefix="0" xfId="0">
      <alignment horizontal="general" vertical="bottom"/>
    </xf>
    <xf numFmtId="0" fontId="5" fillId="13" borderId="0" applyAlignment="1" pivotButton="0" quotePrefix="0" xfId="0">
      <alignment horizontal="general" vertical="bottom"/>
    </xf>
    <xf numFmtId="0" fontId="6" fillId="0" borderId="0" applyAlignment="1" pivotButton="0" quotePrefix="0" xfId="0">
      <alignment horizontal="general" vertical="center"/>
    </xf>
    <xf numFmtId="0" fontId="5" fillId="6" borderId="0" applyAlignment="1" pivotButton="0" quotePrefix="0" xfId="0">
      <alignment horizontal="general" vertical="center"/>
    </xf>
    <xf numFmtId="0" fontId="8" fillId="6" borderId="0" applyAlignment="1" pivotButton="0" quotePrefix="0" xfId="0">
      <alignment horizontal="general" vertical="center"/>
    </xf>
    <xf numFmtId="0" fontId="11" fillId="0" borderId="0" applyAlignment="1" pivotButton="0" quotePrefix="0" xfId="0">
      <alignment horizontal="center" vertical="center"/>
    </xf>
    <xf numFmtId="0" fontId="11" fillId="0" borderId="0" applyAlignment="1" pivotButton="0" quotePrefix="0" xfId="0">
      <alignment horizontal="center" vertical="center" wrapText="1"/>
    </xf>
    <xf numFmtId="0" fontId="18" fillId="0" borderId="0" applyAlignment="1" pivotButton="0" quotePrefix="0" xfId="0">
      <alignment horizontal="general" vertical="center"/>
    </xf>
    <xf numFmtId="0" fontId="5" fillId="14" borderId="0" applyAlignment="1" pivotButton="0" quotePrefix="0" xfId="0">
      <alignment horizontal="general" vertical="center"/>
    </xf>
    <xf numFmtId="0" fontId="5" fillId="14" borderId="0" applyAlignment="1" pivotButton="0" quotePrefix="0" xfId="0">
      <alignment horizontal="center" vertical="center"/>
    </xf>
    <xf numFmtId="164" fontId="5" fillId="8" borderId="0" applyAlignment="1" pivotButton="0" quotePrefix="0" xfId="0">
      <alignment horizontal="center" vertical="center"/>
    </xf>
    <xf numFmtId="0" fontId="19" fillId="0" borderId="0" applyAlignment="1" pivotButton="0" quotePrefix="0" xfId="0">
      <alignment horizontal="general" vertical="bottom"/>
    </xf>
    <xf numFmtId="0" fontId="9" fillId="0" borderId="0" applyAlignment="1" pivotButton="0" quotePrefix="0" xfId="0">
      <alignment horizontal="left" vertical="top"/>
    </xf>
    <xf numFmtId="0" fontId="11" fillId="11" borderId="0" applyAlignment="1" pivotButton="0" quotePrefix="0" xfId="0">
      <alignment horizontal="general" vertical="bottom"/>
    </xf>
    <xf numFmtId="0" fontId="18" fillId="11" borderId="0" applyAlignment="1" pivotButton="0" quotePrefix="0" xfId="0">
      <alignment horizontal="general" vertical="bottom"/>
    </xf>
    <xf numFmtId="0" fontId="8" fillId="11" borderId="0" applyAlignment="1" pivotButton="0" quotePrefix="0" xfId="0">
      <alignment horizontal="general" vertical="bottom"/>
    </xf>
    <xf numFmtId="0" fontId="8" fillId="6" borderId="0" applyAlignment="1" pivotButton="0" quotePrefix="0" xfId="0">
      <alignment horizontal="general" vertical="bottom"/>
    </xf>
    <xf numFmtId="0" fontId="26" fillId="0" borderId="0" applyAlignment="1" pivotButton="0" quotePrefix="0" xfId="0">
      <alignment horizontal="general" vertical="bottom"/>
    </xf>
    <xf numFmtId="0" fontId="15" fillId="12" borderId="0" applyAlignment="1" pivotButton="0" quotePrefix="0" xfId="0">
      <alignment horizontal="general" vertical="bottom"/>
    </xf>
    <xf numFmtId="0" fontId="5" fillId="7" borderId="0" applyAlignment="1" pivotButton="0" quotePrefix="0" xfId="0">
      <alignment horizontal="general" vertical="bottom" wrapText="1"/>
    </xf>
    <xf numFmtId="0" fontId="6" fillId="7" borderId="0" applyAlignment="1" pivotButton="0" quotePrefix="0" xfId="0">
      <alignment horizontal="general" vertical="bottom" wrapText="1"/>
    </xf>
    <xf numFmtId="0" fontId="5" fillId="12" borderId="0" applyAlignment="1" pivotButton="0" quotePrefix="0" xfId="0">
      <alignment horizontal="general" vertical="bottom"/>
    </xf>
    <xf numFmtId="0" fontId="15" fillId="0" borderId="0" applyAlignment="1" pivotButton="0" quotePrefix="0" xfId="0">
      <alignment horizontal="general" vertical="bottom" wrapText="1"/>
    </xf>
    <xf numFmtId="0" fontId="5" fillId="12" borderId="0" applyAlignment="1" pivotButton="0" quotePrefix="0" xfId="0">
      <alignment horizontal="center" vertical="bottom"/>
    </xf>
    <xf numFmtId="0" fontId="5" fillId="12" borderId="0" applyAlignment="1" pivotButton="0" quotePrefix="0" xfId="0">
      <alignment horizontal="center" vertical="center"/>
    </xf>
    <xf numFmtId="0" fontId="8" fillId="12" borderId="0" applyAlignment="1" pivotButton="0" quotePrefix="0" xfId="0">
      <alignment horizontal="general" vertical="bottom"/>
    </xf>
    <xf numFmtId="0" fontId="6" fillId="0" borderId="0" applyAlignment="1" pivotButton="0" quotePrefix="0" xfId="0">
      <alignment horizontal="general" vertical="bottom" wrapText="1"/>
    </xf>
    <xf numFmtId="0" fontId="27" fillId="0" borderId="0" applyAlignment="1" pivotButton="0" quotePrefix="0" xfId="0">
      <alignment horizontal="general" vertical="bottom" wrapText="1"/>
    </xf>
    <xf numFmtId="0" fontId="18" fillId="0" borderId="0" applyAlignment="1" pivotButton="0" quotePrefix="0" xfId="0">
      <alignment horizontal="general" vertical="bottom"/>
    </xf>
    <xf numFmtId="0" fontId="8" fillId="0" borderId="0" applyAlignment="1" pivotButton="0" quotePrefix="0" xfId="0">
      <alignment horizontal="left" vertical="bottom"/>
    </xf>
    <xf numFmtId="0" fontId="5" fillId="14" borderId="0" applyAlignment="1" pivotButton="0" quotePrefix="0" xfId="0">
      <alignment horizontal="general" vertical="bottom"/>
    </xf>
    <xf numFmtId="0" fontId="5" fillId="14" borderId="0" applyAlignment="1" pivotButton="0" quotePrefix="0" xfId="0">
      <alignment horizontal="center" vertical="bottom"/>
    </xf>
    <xf numFmtId="0" fontId="5" fillId="8" borderId="0" applyAlignment="1" pivotButton="0" quotePrefix="0" xfId="0">
      <alignment horizontal="center" vertical="bottom" wrapText="1"/>
    </xf>
    <xf numFmtId="0" fontId="5" fillId="8" borderId="0" applyAlignment="1" pivotButton="0" quotePrefix="0" xfId="0">
      <alignment horizontal="left" vertical="center" wrapText="1"/>
    </xf>
    <xf numFmtId="0" fontId="5" fillId="0" borderId="0" applyAlignment="1" pivotButton="0" quotePrefix="0" xfId="0">
      <alignment horizontal="general" vertical="top"/>
    </xf>
    <xf numFmtId="0" fontId="17" fillId="0" borderId="0" applyAlignment="1" pivotButton="0" quotePrefix="0" xfId="0">
      <alignment horizontal="general" vertical="bottom" wrapText="1"/>
    </xf>
    <xf numFmtId="0" fontId="5" fillId="5" borderId="0" applyAlignment="1" pivotButton="0" quotePrefix="0" xfId="0">
      <alignment horizontal="general" vertical="bottom"/>
    </xf>
    <xf numFmtId="0" fontId="6" fillId="6" borderId="0" applyAlignment="1" pivotButton="0" quotePrefix="0" xfId="0">
      <alignment horizontal="left" vertical="center"/>
    </xf>
    <xf numFmtId="0" fontId="28" fillId="0" borderId="0" applyAlignment="1" pivotButton="0" quotePrefix="0" xfId="0">
      <alignment horizontal="general" vertical="bottom" wrapText="1"/>
    </xf>
    <xf numFmtId="0" fontId="27" fillId="0" borderId="0" applyAlignment="1" pivotButton="0" quotePrefix="0" xfId="0">
      <alignment horizontal="general" vertical="bottom"/>
    </xf>
    <xf numFmtId="0" fontId="8" fillId="5" borderId="0" applyAlignment="1" pivotButton="0" quotePrefix="0" xfId="0">
      <alignment horizontal="general" vertical="bottom"/>
    </xf>
    <xf numFmtId="0" fontId="29" fillId="0" borderId="0" applyAlignment="1" pivotButton="0" quotePrefix="0" xfId="0">
      <alignment horizontal="general" vertical="bottom"/>
    </xf>
    <xf numFmtId="0" fontId="11" fillId="0" borderId="0" applyAlignment="1" pivotButton="0" quotePrefix="0" xfId="0">
      <alignment horizontal="left" vertical="bottom"/>
    </xf>
    <xf numFmtId="0" fontId="5" fillId="0" borderId="0" applyAlignment="1" pivotButton="0" quotePrefix="0" xfId="0">
      <alignment horizontal="center" vertical="center"/>
    </xf>
    <xf numFmtId="0" fontId="5" fillId="6" borderId="0" applyAlignment="1" pivotButton="0" quotePrefix="0" xfId="0">
      <alignment horizontal="left" vertical="bottom"/>
    </xf>
    <xf numFmtId="0" fontId="8" fillId="6" borderId="0" applyAlignment="1" pivotButton="0" quotePrefix="0" xfId="0">
      <alignment horizontal="left" vertical="bottom"/>
    </xf>
    <xf numFmtId="0" fontId="4" fillId="0" borderId="0" applyAlignment="1" pivotButton="0" quotePrefix="0" xfId="0">
      <alignment horizontal="general" vertical="bottom"/>
    </xf>
    <xf numFmtId="0" fontId="18" fillId="0" borderId="0" applyAlignment="1" pivotButton="0" quotePrefix="0" xfId="0">
      <alignment horizontal="left" vertical="bottom"/>
    </xf>
    <xf numFmtId="0" fontId="5" fillId="5" borderId="0" applyAlignment="1" pivotButton="0" quotePrefix="0" xfId="0">
      <alignment horizontal="general" vertical="bottom" wrapText="1"/>
    </xf>
    <xf numFmtId="0" fontId="11" fillId="6" borderId="0" applyAlignment="1" pivotButton="0" quotePrefix="0" xfId="0">
      <alignment horizontal="general" vertical="bottom"/>
    </xf>
    <xf numFmtId="0" fontId="11" fillId="7" borderId="0" applyAlignment="1" pivotButton="0" quotePrefix="0" xfId="0">
      <alignment horizontal="general" vertical="bottom"/>
    </xf>
    <xf numFmtId="0" fontId="18" fillId="7" borderId="0" applyAlignment="1" pivotButton="0" quotePrefix="0" xfId="0">
      <alignment horizontal="general" vertical="bottom"/>
    </xf>
    <xf numFmtId="0" fontId="5" fillId="6" borderId="0" applyAlignment="1" pivotButton="0" quotePrefix="0" xfId="0">
      <alignment horizontal="left" vertical="bottom" wrapText="1"/>
    </xf>
    <xf numFmtId="0" fontId="9" fillId="0" borderId="0" applyAlignment="1" pivotButton="0" quotePrefix="0" xfId="0">
      <alignment horizontal="left" vertical="bottom"/>
    </xf>
    <xf numFmtId="0" fontId="6" fillId="7" borderId="0" applyAlignment="1" pivotButton="0" quotePrefix="0" xfId="0">
      <alignment horizontal="left" vertical="bottom"/>
    </xf>
    <xf numFmtId="0" fontId="6" fillId="0" borderId="0" applyAlignment="1" pivotButton="0" quotePrefix="0" xfId="0">
      <alignment horizontal="left" vertical="bottom" wrapText="1"/>
    </xf>
    <xf numFmtId="0" fontId="5" fillId="7" borderId="0" applyAlignment="1" pivotButton="0" quotePrefix="0" xfId="0">
      <alignment horizontal="left" vertical="bottom"/>
    </xf>
    <xf numFmtId="0" fontId="8" fillId="7" borderId="0" applyAlignment="1" pivotButton="0" quotePrefix="0" xfId="0">
      <alignment horizontal="left" vertical="bottom"/>
    </xf>
    <xf numFmtId="164" fontId="4" fillId="8" borderId="0" applyAlignment="1" pivotButton="0" quotePrefix="0" xfId="0">
      <alignment horizontal="center" vertical="center"/>
    </xf>
    <xf numFmtId="164" fontId="4" fillId="8" borderId="0" applyAlignment="1" pivotButton="0" quotePrefix="0" xfId="0">
      <alignment horizontal="center" vertical="center" wrapText="1"/>
    </xf>
    <xf numFmtId="0" fontId="4" fillId="8" borderId="0" applyAlignment="1" pivotButton="0" quotePrefix="0" xfId="0">
      <alignment horizontal="center" vertical="center" wrapText="1"/>
    </xf>
    <xf numFmtId="0" fontId="4" fillId="8" borderId="0" applyAlignment="1" pivotButton="0" quotePrefix="0" xfId="0">
      <alignment horizontal="left" vertical="center"/>
    </xf>
    <xf numFmtId="0" fontId="4" fillId="8" borderId="0" applyAlignment="1" pivotButton="0" quotePrefix="0" xfId="0">
      <alignment horizontal="center" vertical="center"/>
    </xf>
    <xf numFmtId="0" fontId="19" fillId="0" borderId="0" applyAlignment="1" pivotButton="0" quotePrefix="0" xfId="0">
      <alignment horizontal="left" vertical="bottom"/>
    </xf>
    <xf numFmtId="0" fontId="4" fillId="5" borderId="0" applyAlignment="1" pivotButton="0" quotePrefix="0" xfId="0">
      <alignment horizontal="left" vertical="bottom" wrapText="1"/>
    </xf>
    <xf numFmtId="0" fontId="11" fillId="0" borderId="0" applyAlignment="1" pivotButton="0" quotePrefix="0" xfId="0">
      <alignment horizontal="left" vertical="bottom" wrapText="1"/>
    </xf>
    <xf numFmtId="0" fontId="11" fillId="0" borderId="0" applyAlignment="1" pivotButton="0" quotePrefix="0" xfId="0">
      <alignment horizontal="center" vertical="bottom"/>
    </xf>
    <xf numFmtId="0" fontId="28" fillId="0" borderId="0" applyAlignment="1" pivotButton="0" quotePrefix="0" xfId="0">
      <alignment horizontal="left" vertical="bottom" wrapText="1"/>
    </xf>
    <xf numFmtId="0" fontId="8" fillId="12" borderId="0" applyAlignment="1" pivotButton="0" quotePrefix="0" xfId="0">
      <alignment horizontal="left" vertical="bottom"/>
    </xf>
    <xf numFmtId="0" fontId="26" fillId="0" borderId="0" applyAlignment="1" pivotButton="0" quotePrefix="0" xfId="0">
      <alignment horizontal="left" vertical="bottom"/>
    </xf>
    <xf numFmtId="0" fontId="31" fillId="0" borderId="0" applyAlignment="1" pivotButton="0" quotePrefix="0" xfId="0">
      <alignment horizontal="left" vertical="bottom"/>
    </xf>
    <xf numFmtId="0" fontId="6" fillId="0" borderId="0" applyAlignment="1" pivotButton="0" quotePrefix="0" xfId="0">
      <alignment horizontal="center" vertical="bottom"/>
    </xf>
    <xf numFmtId="0" fontId="29" fillId="0" borderId="0" applyAlignment="1" pivotButton="0" quotePrefix="0" xfId="0">
      <alignment horizontal="left" vertical="bottom"/>
    </xf>
    <xf numFmtId="0" fontId="15" fillId="2" borderId="0" applyAlignment="1" pivotButton="0" quotePrefix="0" xfId="0">
      <alignment horizontal="left" vertical="bottom" wrapText="1"/>
    </xf>
    <xf numFmtId="0" fontId="4" fillId="0" borderId="0" applyAlignment="1" pivotButton="0" quotePrefix="0" xfId="0">
      <alignment horizontal="left" vertical="bottom"/>
    </xf>
    <xf numFmtId="0" fontId="11" fillId="12" borderId="0" applyAlignment="1" pivotButton="0" quotePrefix="0" xfId="0">
      <alignment horizontal="center" vertical="center"/>
    </xf>
    <xf numFmtId="0" fontId="11" fillId="12" borderId="0" applyAlignment="1" pivotButton="0" quotePrefix="0" xfId="0">
      <alignment horizontal="left" vertical="center"/>
    </xf>
    <xf numFmtId="0" fontId="6" fillId="12" borderId="0" applyAlignment="1" pivotButton="0" quotePrefix="0" xfId="0">
      <alignment horizontal="left" vertical="bottom"/>
    </xf>
    <xf numFmtId="0" fontId="11" fillId="12" borderId="0" applyAlignment="1" pivotButton="0" quotePrefix="0" xfId="0">
      <alignment horizontal="left" vertical="bottom"/>
    </xf>
    <xf numFmtId="0" fontId="11" fillId="12" borderId="0" applyAlignment="1" pivotButton="0" quotePrefix="0" xfId="0">
      <alignment horizontal="general" vertical="bottom"/>
    </xf>
    <xf numFmtId="0" fontId="4" fillId="15" borderId="0" applyAlignment="1" pivotButton="0" quotePrefix="0" xfId="0">
      <alignment horizontal="general" vertical="bottom" wrapText="1"/>
    </xf>
    <xf numFmtId="0" fontId="5" fillId="0" borderId="0" applyAlignment="1" pivotButton="0" quotePrefix="0" xfId="0">
      <alignment horizontal="general" vertical="top" wrapText="1"/>
    </xf>
    <xf numFmtId="0" fontId="5" fillId="15" borderId="0" applyAlignment="1" pivotButton="0" quotePrefix="0" xfId="0">
      <alignment horizontal="left" vertical="bottom"/>
    </xf>
    <xf numFmtId="0" fontId="4" fillId="0" borderId="0" applyAlignment="1" pivotButton="0" quotePrefix="0" xfId="0">
      <alignment horizontal="general" vertical="top"/>
    </xf>
    <xf numFmtId="0" fontId="5" fillId="15" borderId="0" applyAlignment="1" pivotButton="0" quotePrefix="0" xfId="0">
      <alignment horizontal="left" vertical="center"/>
    </xf>
    <xf numFmtId="0" fontId="5" fillId="15" borderId="0" applyAlignment="1" pivotButton="0" quotePrefix="0" xfId="0">
      <alignment horizontal="left" vertical="bottom" wrapText="1"/>
    </xf>
    <xf numFmtId="0" fontId="5" fillId="15" borderId="0" applyAlignment="1" pivotButton="0" quotePrefix="0" xfId="0">
      <alignment horizontal="left" vertical="center" wrapText="1"/>
    </xf>
    <xf numFmtId="0" fontId="32" fillId="2" borderId="0" applyAlignment="1" pivotButton="0" quotePrefix="0" xfId="0">
      <alignment horizontal="left" vertical="bottom"/>
    </xf>
    <xf numFmtId="0" fontId="9" fillId="0" borderId="0" applyAlignment="1" pivotButton="0" quotePrefix="0" xfId="0">
      <alignment horizontal="general" vertical="top"/>
    </xf>
    <xf numFmtId="0" fontId="14" fillId="0" borderId="0" applyAlignment="1" pivotButton="0" quotePrefix="0" xfId="0">
      <alignment horizontal="left" vertical="bottom"/>
    </xf>
    <xf numFmtId="0" fontId="11" fillId="15" borderId="0" applyAlignment="1" pivotButton="0" quotePrefix="0" xfId="0">
      <alignment horizontal="left" vertical="center"/>
    </xf>
    <xf numFmtId="0" fontId="33" fillId="0" borderId="0" applyAlignment="1" pivotButton="0" quotePrefix="0" xfId="0">
      <alignment horizontal="center" vertical="bottom" wrapText="1"/>
    </xf>
    <xf numFmtId="0" fontId="11" fillId="5"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6">
    <dxf>
      <fill>
        <patternFill>
          <bgColor rgb="FFFFFF00"/>
        </patternFill>
      </fill>
    </dxf>
    <dxf>
      <fill>
        <patternFill>
          <bgColor rgb="FF6AA84F"/>
        </patternFill>
      </fill>
    </dxf>
    <dxf>
      <fill>
        <patternFill>
          <bgColor rgb="FFC9DAF8"/>
        </patternFill>
      </fill>
    </dxf>
    <dxf>
      <fill>
        <patternFill>
          <bgColor rgb="FF6D9EEB"/>
        </patternFill>
      </fill>
    </dxf>
    <dxf>
      <fill>
        <patternFill>
          <bgColor rgb="FFEA9999"/>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CCCCC"/>
      <rgbColor rgb="FF808080"/>
      <rgbColor rgb="FF6D9EEB"/>
      <rgbColor rgb="FF993366"/>
      <rgbColor rgb="FFFFF2CC"/>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EAD1DC"/>
      <rgbColor rgb="FFFFFF99"/>
      <rgbColor rgb="FFA4C2F4"/>
      <rgbColor rgb="FFEA9999"/>
      <rgbColor rgb="FFD5A6BD"/>
      <rgbColor rgb="FFFFD966"/>
      <rgbColor rgb="FF3366FF"/>
      <rgbColor rgb="FF33CCCC"/>
      <rgbColor rgb="FF99CC00"/>
      <rgbColor rgb="FFFFCC00"/>
      <rgbColor rgb="FFFF9900"/>
      <rgbColor rgb="FFFF6600"/>
      <rgbColor rgb="FF666699"/>
      <rgbColor rgb="FFB2B2B2"/>
      <rgbColor rgb="FF003366"/>
      <rgbColor rgb="FF6AA84F"/>
      <rgbColor rgb="FF003300"/>
      <rgbColor rgb="FF333300"/>
      <rgbColor rgb="FF993300"/>
      <rgbColor rgb="FF993366"/>
      <rgbColor rgb="FF351C75"/>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Unknown Author</author>
  </authors>
  <commentList>
    <comment ref="B16" authorId="0" shapeId="0">
      <text>
        <t>Google first Goldbach's conjecture</t>
      </text>
    </comment>
    <comment ref="M16" authorId="0" shapeId="0">
      <text>
        <t>Or shorter: 
http://naivered.github.io/2016/07/03/Problem_Solving/UVa/UVa-10168-Summation-of-Four-Primes/</t>
      </text>
    </comment>
    <comment ref="M17" authorId="0" shapeId="0">
      <text>
        <t>Or shorter: 
https://github.com/ilyesLtifi/Competitive-Programming/blob/master/UVA/UVA%2010325.cpp</t>
      </text>
    </comment>
    <comment ref="M75" authorId="0" shapeId="0">
      <text>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comment2.xml><?xml version="1.0" encoding="utf-8"?>
<comments xmlns="http://schemas.openxmlformats.org/spreadsheetml/2006/main">
  <authors>
    <author>Unknown Author</author>
  </authors>
  <commentList>
    <comment ref="M770" authorId="0" shapeId="0">
      <text>
        <t>Or shorter: 
https://github.com/ilyesLtifi/Competitive-Programming/blob/master/UVA/UVA%2010325.cpp</t>
      </text>
    </comment>
    <comment ref="B824" authorId="0" shapeId="0">
      <text>
        <t>Google first Goldbach's conjecture</t>
      </text>
    </comment>
    <comment ref="M824" authorId="0" shapeId="0">
      <text>
        <t>Or shorter: http://naivered.github.io/2016/07/03/Problem_Solving/UVa/UVa-10168-Summation-of-Four-Primes/</t>
      </text>
    </comment>
    <comment ref="M868" authorId="0" shapeId="0">
      <text>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Relationships xmlns="http://schemas.openxmlformats.org/package/2006/relationships"><Relationship Type="http://schemas.openxmlformats.org/officeDocument/2006/relationships/hyperlink" Target="https://sites.google.com/site/mostafasibrahim/" TargetMode="External" Id="rId1"/><Relationship Type="http://schemas.openxmlformats.org/officeDocument/2006/relationships/hyperlink" Target="https://www.youtube.com/watch?v=4yt_PV3tflA" TargetMode="External" Id="rId2"/><Relationship Type="http://schemas.openxmlformats.org/officeDocument/2006/relationships/hyperlink" Target="https://www.youtube.com/watch?v=c3lmvYBxgwE" TargetMode="External" Id="rId3"/><Relationship Type="http://schemas.openxmlformats.org/officeDocument/2006/relationships/hyperlink" Target="https://www.youtube.com/playlist?list=PLPt2dINI2MIaNcU070HIAO8JWYBcafuyG" TargetMode="External" Id="rId4"/><Relationship Type="http://schemas.openxmlformats.org/officeDocument/2006/relationships/hyperlink" Target="https://bit.ly/37MSCjV" TargetMode="External" Id="rId5"/><Relationship Type="http://schemas.openxmlformats.org/officeDocument/2006/relationships/hyperlink" Target="https://goo.gl/CEwCjS" TargetMode="External" Id="rId6"/><Relationship Type="http://schemas.openxmlformats.org/officeDocument/2006/relationships/hyperlink" Target="https://bit.ly/3lJ2SiL" TargetMode="External" Id="rId7"/><Relationship Type="http://schemas.openxmlformats.org/officeDocument/2006/relationships/hyperlink" Target="https://bit.ly/36XvLlN" TargetMode="External" Id="rId8"/><Relationship Type="http://schemas.openxmlformats.org/officeDocument/2006/relationships/hyperlink" Target="https://bit.ly/3lJ2SiL" TargetMode="External" Id="rId9"/><Relationship Type="http://schemas.openxmlformats.org/officeDocument/2006/relationships/hyperlink" Target="http://bit.ly/3o9vkw9" TargetMode="External" Id="rId10"/><Relationship Type="http://schemas.openxmlformats.org/officeDocument/2006/relationships/hyperlink" Target="https://bit.ly/3lJ2SiL" TargetMode="External" Id="rId11"/><Relationship Type="http://schemas.openxmlformats.org/officeDocument/2006/relationships/hyperlink" Target="http://bit.ly/3o9vkw9" TargetMode="External" Id="rId12"/><Relationship Type="http://schemas.openxmlformats.org/officeDocument/2006/relationships/hyperlink" Target="https://discord.gg/BPXwwcBVZJ" TargetMode="External" Id="rId13"/><Relationship Type="http://schemas.openxmlformats.org/officeDocument/2006/relationships/hyperlink" Target="https://codeforces.com/blog/entry/61252" TargetMode="External" Id="rId14"/><Relationship Type="http://schemas.openxmlformats.org/officeDocument/2006/relationships/hyperlink" Target="https://www.youtube.com/watch?v=Fr6wJ5_Hok0&amp;list=PL1DUmTEdeA6IUD9Gt5rZlQfbZyAWXd-oD" TargetMode="External" Id="rId15"/></Relationships>
</file>

<file path=xl/worksheets/_rels/sheet11.xml.rels><Relationships xmlns="http://schemas.openxmlformats.org/package/2006/relationships"><Relationship Type="http://schemas.openxmlformats.org/officeDocument/2006/relationships/hyperlink" Target="https://www.youtube.com/watch?v=-VBxPnLk3_c&amp;feature=youtu.be" TargetMode="External" Id="rId1"/><Relationship Type="http://schemas.openxmlformats.org/officeDocument/2006/relationships/hyperlink" Target="https://github.com/omarkhair/Problems-Editorial/blob/master/UVA/10920%20-%20Spiral%20Tap/Editorial.md" TargetMode="External" Id="rId2"/><Relationship Type="http://schemas.openxmlformats.org/officeDocument/2006/relationships/hyperlink" Target="https://github.com/omarkhair/Problems-Editorial/blob/master/UVA/10036%20-%20Divisibility/Editorial.md" TargetMode="External" Id="rId3"/><Relationship Type="http://schemas.openxmlformats.org/officeDocument/2006/relationships/hyperlink" Target="https://algorithmist.com/wiki/UVa_10100_-_Longest_Match" TargetMode="External" Id="rId4"/><Relationship Type="http://schemas.openxmlformats.org/officeDocument/2006/relationships/hyperlink" Target="https://github.com/omarkhair/Problems-Editorial/blob/master/UVA/872%20-%20Ordering/Editorial.md" TargetMode="External" Id="rId5"/><Relationship Type="http://schemas.openxmlformats.org/officeDocument/2006/relationships/hyperlink" Target="https://github.com/omarkhair/Problems-Editorial/blob/master/UVA/196-Spreadsheet/code.cpp" TargetMode="External" Id="rId6"/><Relationship Type="http://schemas.openxmlformats.org/officeDocument/2006/relationships/hyperlink" Target="https://algorithmist.com/wiki/UVa_10462_-_Is_There_A_Second_Way_Left%3F" TargetMode="External" Id="rId7"/><Relationship Type="http://schemas.openxmlformats.org/officeDocument/2006/relationships/hyperlink" Target="https://zoj.pintia.cn/problem-sets/91827364500/problems/91827364699" TargetMode="External" Id="rId8"/><Relationship Type="http://schemas.openxmlformats.org/officeDocument/2006/relationships/hyperlink" Target="https://github.com/omarkhair/Problems-Editorial/blob/master/ZOJ/1200%20Mining/Editorial.md" TargetMode="External" Id="rId9"/><Relationship Type="http://schemas.openxmlformats.org/officeDocument/2006/relationships/hyperlink" Target="https://algorithmist.com/wiki/UVa_101_-_The_Blocks_Problem" TargetMode="External" Id="rId10"/><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2.xml.rels><Relationships xmlns="http://schemas.openxmlformats.org/package/2006/relationships"><Relationship Type="http://schemas.openxmlformats.org/officeDocument/2006/relationships/hyperlink" Target="https://ask.fm/mostafasaad87/answers/144907000290" TargetMode="External" Id="rId1"/><Relationship Type="http://schemas.openxmlformats.org/officeDocument/2006/relationships/hyperlink" Target="https://ask.fm/mostafasaad87/answers/145333554402" TargetMode="External" Id="rId2"/><Relationship Type="http://schemas.openxmlformats.org/officeDocument/2006/relationships/hyperlink" Target="https://ask.fm/mostafasaad87/answers/150802497762" TargetMode="External" Id="rId3"/><Relationship Type="http://schemas.openxmlformats.org/officeDocument/2006/relationships/hyperlink" Target="https://ask.fm/mostafasaad87/answers/148552940002" TargetMode="External" Id="rId4"/></Relationships>
</file>

<file path=xl/worksheets/_rels/sheet3.xml.rels><Relationships xmlns="http://schemas.openxmlformats.org/package/2006/relationships"><Relationship Type="http://schemas.openxmlformats.org/officeDocument/2006/relationships/hyperlink" Target="https://cses.fi/problemset/task/1667/" TargetMode="External" Id="rId1"/><Relationship Type="http://schemas.openxmlformats.org/officeDocument/2006/relationships/hyperlink" Target="https://codeforces.com/contest/242/problem/C" TargetMode="External" Id="rId2"/><Relationship Type="http://schemas.openxmlformats.org/officeDocument/2006/relationships/hyperlink" Target="https://codeforces.com/contest/378/problem/C" TargetMode="External" Id="rId3"/><Relationship Type="http://schemas.openxmlformats.org/officeDocument/2006/relationships/hyperlink" Target="https://codeforces.com/group/o09Gu2FpOx/contest/542182/problem/F" TargetMode="External" Id="rId4"/></Relationships>
</file>

<file path=xl/worksheets/_rels/sheet4.xml.rels><Relationships xmlns="http://schemas.openxmlformats.org/package/2006/relationships"><Relationship Type="http://schemas.openxmlformats.org/officeDocument/2006/relationships/hyperlink" Target="https://www.youtube.com/watch?v=VmL4PQIZ-6c" TargetMode="External" Id="rId1"/><Relationship Type="http://schemas.openxmlformats.org/officeDocument/2006/relationships/hyperlink" Target="https://www.youtube.com/watch?v=FpVDX3BaHoA" TargetMode="External" Id="rId2"/><Relationship Type="http://schemas.openxmlformats.org/officeDocument/2006/relationships/hyperlink" Target="https://www.youtube.com/watch?v=NsLbHrp1wgE" TargetMode="External" Id="rId3"/><Relationship Type="http://schemas.openxmlformats.org/officeDocument/2006/relationships/hyperlink" Target="https://www.youtube.com/watch?v=VHR5LbIMrNM" TargetMode="External" Id="rId4"/></Relationships>
</file>

<file path=xl/worksheets/_rels/sheet5.xml.rels><Relationships xmlns="http://schemas.openxmlformats.org/package/2006/relationships"><Relationship Type="http://schemas.openxmlformats.org/officeDocument/2006/relationships/hyperlink" Target="https://www.youtube.com/watch?v=KAS83uXf_8s&amp;list=PLPt2dINI2MIZPFq6HyUB1Uhxdh1UDnZMS" TargetMode="External" Id="rId1"/><Relationship Type="http://schemas.openxmlformats.org/officeDocument/2006/relationships/hyperlink" Target="https://onlinejudge.org/index.php?option=onlinejudge&amp;Itemid=8&amp;page=show_problem&amp;problem=1402" TargetMode="External" Id="rId2"/><Relationship Type="http://schemas.openxmlformats.org/officeDocument/2006/relationships/hyperlink" Target="https://www.youtube.com/watch?v=49Mnel1CPjM&amp;feature=youtu.be" TargetMode="External" Id="rId3"/><Relationship Type="http://schemas.openxmlformats.org/officeDocument/2006/relationships/hyperlink" Target="https://www.spoj.com/problems/POSTERIN/" TargetMode="External" Id="rId4"/><Relationship Type="http://schemas.openxmlformats.org/officeDocument/2006/relationships/hyperlink" Target="https://www.youtube.com/watch?v=ZlyYQqYj2W8&amp;list=PLPt2dINI2MIbwnEoeHZnUHeUHjTd8x4F3&amp;index=32&amp;t=1s" TargetMode="External" Id="rId5"/><Relationship Type="http://schemas.openxmlformats.org/officeDocument/2006/relationships/hyperlink" Target="https://www.youtube.com/watch?v=hyk46UmJPS4&amp;list=PLPt2dINI2MIZPFq6HyUB1Uhxdh1UDnZMS&amp;index=22" TargetMode="External" Id="rId6"/><Relationship Type="http://schemas.openxmlformats.org/officeDocument/2006/relationships/hyperlink" Target="https://www.youtube.com/watch?v=-VBxPnLk3_c&amp;feature=youtu.be" TargetMode="External" Id="rId7"/><Relationship Type="http://schemas.openxmlformats.org/officeDocument/2006/relationships/hyperlink" Target="https://www.youtube.com/watch?v=LigGvEEwnDQ" TargetMode="External" Id="rId8"/><Relationship Type="http://schemas.openxmlformats.org/officeDocument/2006/relationships/hyperlink" Target="https://www.youtube.com/watch?v=LigGvEEwnDQ" TargetMode="External" Id="rId9"/><Relationship Type="http://schemas.openxmlformats.org/officeDocument/2006/relationships/hyperlink" Target="https://www.youtube.com/watch?v=iPIcF469yRw" TargetMode="External" Id="rId10"/><Relationship Type="http://schemas.openxmlformats.org/officeDocument/2006/relationships/hyperlink" Target="https://www.youtube.com/watch?v=oAOERsp49B8" TargetMode="External" Id="rId11"/><Relationship Type="http://schemas.openxmlformats.org/officeDocument/2006/relationships/hyperlink" Target="https://www.youtube.com/watch?v=pE3ksAAcqEI" TargetMode="External" Id="rId12"/><Relationship Type="http://schemas.openxmlformats.org/officeDocument/2006/relationships/hyperlink" Target="https://onlinejudge.org/index.php?option=com_onlinejudge&amp;Itemid=8&amp;page=show_problem&amp;problem=3615" TargetMode="External" Id="rId13"/></Relationships>
</file>

<file path=xl/worksheets/_rels/sheet6.xml.rels><Relationships xmlns="http://schemas.openxmlformats.org/package/2006/relationships"><Relationship Type="http://schemas.openxmlformats.org/officeDocument/2006/relationships/hyperlink" Target="https://www.youtube.com/watch?v=s9jsw8Uj4uI&amp;feature=youtu.be" TargetMode="External" Id="rId1"/><Relationship Type="http://schemas.openxmlformats.org/officeDocument/2006/relationships/hyperlink" Target="https://www.youtube.com/watch?v=BztjeBZmzco&amp;feature=youtu.be" TargetMode="External" Id="rId2"/><Relationship Type="http://schemas.openxmlformats.org/officeDocument/2006/relationships/hyperlink" Target="https://onlinejudge.org/index.php?option=onlinejudge&amp;page=show_problem&amp;problem=1784" TargetMode="External" Id="rId3"/><Relationship Type="http://schemas.openxmlformats.org/officeDocument/2006/relationships/hyperlink" Target="https://algorithmist.com/wiki/UVa_101_-_The_Blocks_Problem" TargetMode="External" Id="rId4"/><Relationship Type="http://schemas.openxmlformats.org/officeDocument/2006/relationships/hyperlink" Target="https://github.com/omarkhair/Problems-Editorial/blob/master/UVA/10036%20-%20Divisibility/Editorial.md" TargetMode="External" Id="rId5"/><Relationship Type="http://schemas.openxmlformats.org/officeDocument/2006/relationships/hyperlink" Target="https://zoj.pintia.cn/problem-sets/91827364500/problems/91827364699" TargetMode="External" Id="rId6"/><Relationship Type="http://schemas.openxmlformats.org/officeDocument/2006/relationships/hyperlink" Target="https://github.com/omarkhair/Problems-Editorial/blob/master/ZOJ/1200%20Mining/Editorial.md" TargetMode="External" Id="rId7"/><Relationship Type="http://schemas.openxmlformats.org/officeDocument/2006/relationships/hyperlink" Target="https://github.com/omarkhair/Problems-Editorial/blob/master/UVA/10920%20-%20Spiral%20Tap/Editorial.md" TargetMode="External" Id="rId8"/><Relationship Type="http://schemas.openxmlformats.org/officeDocument/2006/relationships/hyperlink" Target="https://github.com/omarkhair/Problems-Editorial/blob/master/UVA/196-Spreadsheet/code.cpp" TargetMode="External" Id="rId9"/><Relationship Type="http://schemas.openxmlformats.org/officeDocument/2006/relationships/hyperlink" Target="https://www.youtube.com/watch?v=Wxzd5xY_Kso" TargetMode="External" Id="rId10"/><Relationship Type="http://schemas.openxmlformats.org/officeDocument/2006/relationships/hyperlink" Target="https://github.com/MohamedNabil97/CompetitiveProgramming/blob/master/UVA/10139.cpp" TargetMode="External" Id="rId11"/><Relationship Type="http://schemas.openxmlformats.org/officeDocument/2006/relationships/hyperlink" Target="https://onlinejudge.org/index.php?option=onlinejudge&amp;page=show_problem&amp;problem=2620" TargetMode="External" Id="rId12"/><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7.xml.rels><Relationships xmlns="http://schemas.openxmlformats.org/package/2006/relationships"><Relationship Type="http://schemas.openxmlformats.org/officeDocument/2006/relationships/hyperlink" Target="https://algorithmist.com/wiki/UVa_10462_-_Is_There_A_Second_Way_Left%3F" TargetMode="External" Id="rId1"/><Relationship Type="http://schemas.openxmlformats.org/officeDocument/2006/relationships/hyperlink" Target="https://github.com/omarkhair/Problems-Editorial/blob/master/UVA/872%20-%20Ordering/Editorial.md" TargetMode="External" Id="rId2"/><Relationship Type="http://schemas.openxmlformats.org/officeDocument/2006/relationships/hyperlink" Target="https://onlinejudge.org/index.php?option=onlinejudge&amp;Itemid=8&amp;page=show_problem&amp;problem=394" TargetMode="External" Id="rId3"/><Relationship Type="http://schemas.openxmlformats.org/officeDocument/2006/relationships/hyperlink" Target="https://onlinejudge.org/index.php?option=onlinejudge&amp;page=show_problem&amp;problem=1466" TargetMode="External" Id="rId4"/><Relationship Type="http://schemas.openxmlformats.org/officeDocument/2006/relationships/hyperlink" Target="https://algorithmist.com/wiki/UVa_10100_-_Longest_Match" TargetMode="External" Id="rId5"/></Relationships>
</file>

<file path=xl/worksheets/sheet1.xml><?xml version="1.0" encoding="utf-8"?>
<worksheet xmlns="http://schemas.openxmlformats.org/spreadsheetml/2006/main">
  <sheetPr filterMode="0">
    <outlinePr summaryBelow="1" summaryRight="1"/>
    <pageSetUpPr fitToPage="0"/>
  </sheetPr>
  <dimension ref="A1:H8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5.12890625" defaultRowHeight="15.75" zeroHeight="0" outlineLevelRow="0"/>
  <cols>
    <col width="22.75" customWidth="1" style="278" min="1" max="1"/>
    <col width="16.25" customWidth="1" style="278" min="7" max="7"/>
    <col width="21.63" customWidth="1" style="278" min="8" max="8"/>
  </cols>
  <sheetData>
    <row r="1" ht="15.75" customHeight="1" s="279">
      <c r="A1" s="280" t="inlineStr">
        <is>
          <t>Problem Solving Sheet</t>
        </is>
      </c>
      <c r="B1" s="281" t="inlineStr">
        <is>
          <t>This google sheet is created by Dr Mostafa Saad Ibrahim. Overall ~950 problems for newcomers to problem solving.</t>
        </is>
      </c>
    </row>
    <row r="2" ht="23.25" customHeight="1" s="279">
      <c r="B2" s="282" t="inlineStr">
        <is>
          <t>The goal of this sheet is to enhance algorthmic probem solving skills for both programming competitions and interviws preparations</t>
        </is>
      </c>
    </row>
    <row r="3" ht="15.75" customHeight="1" s="279">
      <c r="B3" s="282" t="inlineStr">
        <is>
          <t>Currenet Version V7.0</t>
        </is>
      </c>
      <c r="D3" s="283" t="n"/>
      <c r="E3" s="284">
        <f>HYPERLINK("https://goo.gl/unDETI","Latest Version")</f>
        <v/>
      </c>
      <c r="F3" s="285" t="n"/>
      <c r="G3" s="285" t="n"/>
      <c r="H3" s="285" t="n"/>
    </row>
    <row r="4" ht="23.25" customHeight="1" s="279">
      <c r="B4" s="286" t="inlineStr">
        <is>
          <t>This is read-access only file. Read line 31 to create your OWN COPY.</t>
        </is>
      </c>
      <c r="F4" s="285" t="n"/>
      <c r="G4" s="285" t="n"/>
      <c r="H4" s="285" t="n"/>
    </row>
    <row r="5" ht="15.75" customHeight="1" s="279">
      <c r="B5" s="281" t="inlineStr">
        <is>
          <t>mostafa.saad.fci@gmail.com</t>
        </is>
      </c>
      <c r="D5" s="287" t="inlineStr">
        <is>
          <t>Site</t>
        </is>
      </c>
      <c r="E5" s="285" t="n"/>
      <c r="F5" s="285" t="n"/>
      <c r="G5" s="285" t="n"/>
      <c r="H5" s="285" t="n"/>
    </row>
    <row r="6" ht="15.75" customHeight="1" s="279">
      <c r="B6" s="288" t="n"/>
      <c r="C6" s="288" t="n"/>
      <c r="D6" s="288" t="n"/>
      <c r="E6" s="288" t="n"/>
      <c r="F6" s="288" t="n"/>
      <c r="G6" s="288" t="n"/>
      <c r="H6" s="285" t="n"/>
    </row>
    <row r="7" ht="15.75" customHeight="1" s="279">
      <c r="B7" s="280" t="inlineStr">
        <is>
          <t>To understand the sheet, watch these videos</t>
        </is>
      </c>
      <c r="F7" s="288" t="n"/>
      <c r="G7" s="288" t="n"/>
      <c r="H7" s="285" t="n"/>
    </row>
    <row r="8" ht="17.25" customHeight="1" s="279">
      <c r="B8" s="289" t="inlineStr">
        <is>
          <t>English Speakers</t>
        </is>
      </c>
      <c r="E8" s="290" t="n"/>
      <c r="F8" s="288" t="n"/>
      <c r="G8" s="288" t="n"/>
      <c r="H8" s="285" t="n"/>
    </row>
    <row r="9" ht="23.25" customHeight="1" s="279">
      <c r="B9" s="291">
        <f>HYPERLINK("https://www.youtube.com/watch?v=DZ6YTtILCE8","Video Introducing roadmap (Arabic) - to min 18 ONLY")</f>
        <v/>
      </c>
      <c r="E9" s="290" t="n"/>
      <c r="F9" s="288" t="n"/>
      <c r="G9" s="288" t="n"/>
      <c r="H9" s="285" t="n"/>
    </row>
    <row r="10" ht="15.75" customHeight="1" s="279">
      <c r="B10" s="287" t="inlineStr">
        <is>
          <t>New Video explaining the sheet (Arabic)</t>
        </is>
      </c>
      <c r="E10" s="290" t="n"/>
      <c r="F10" s="288" t="n"/>
      <c r="G10" s="288" t="n"/>
      <c r="H10" s="285" t="n"/>
    </row>
    <row r="11" ht="15.75" customHeight="1" s="279">
      <c r="B11" s="292" t="inlineStr">
        <is>
          <t>To know how an online judge work: watch 2 videos Online Judge and Codeforces. In near future, finish all of it</t>
        </is>
      </c>
      <c r="H11" s="285" t="n"/>
    </row>
    <row r="12" ht="15.75" customHeight="1" s="279">
      <c r="B12" s="290" t="n"/>
      <c r="C12" s="290" t="n"/>
      <c r="D12" s="290" t="n"/>
      <c r="E12" s="290" t="n"/>
      <c r="F12" s="288" t="n"/>
      <c r="G12" s="288" t="n"/>
      <c r="H12" s="285" t="n"/>
    </row>
    <row r="13" ht="15.75" customHeight="1" s="279">
      <c r="B13" s="292" t="inlineStr">
        <is>
          <t>Once you are DONE with this sheet, utilize this supervision general pool or use it for ider topics-based training</t>
        </is>
      </c>
      <c r="H13" s="285" t="n"/>
    </row>
    <row r="14" ht="23.25" customHeight="1" s="279">
      <c r="B14" s="281" t="inlineStr">
        <is>
          <t xml:space="preserve">For guys with interest only in preparing for interviews NOT competitiotns, use this sheet </t>
        </is>
      </c>
      <c r="G14" s="293" t="inlineStr">
        <is>
          <t>Interviews</t>
        </is>
      </c>
      <c r="H14" s="285" t="n"/>
    </row>
    <row r="15" ht="15.75" customHeight="1" s="279">
      <c r="A15" s="294" t="n"/>
      <c r="B15" s="295" t="n"/>
      <c r="C15" s="295" t="n"/>
      <c r="D15" s="295" t="n"/>
      <c r="E15" s="295" t="n"/>
      <c r="F15" s="295" t="n"/>
      <c r="G15" s="295" t="n"/>
      <c r="H15" s="295" t="n"/>
    </row>
    <row r="16" ht="23.25" customHeight="1" s="279">
      <c r="A16" s="296" t="inlineStr">
        <is>
          <t>Prerequisites?</t>
        </is>
      </c>
      <c r="B16" s="282" t="inlineStr">
        <is>
          <t>Programming skills with prefreed ad-hoc problem solving styles (see udemy course below)</t>
        </is>
      </c>
      <c r="G16" s="291" t="n"/>
      <c r="H16" s="291" t="n"/>
    </row>
    <row r="17" ht="15.75" customHeight="1" s="279">
      <c r="B17" s="297" t="inlineStr">
        <is>
          <t>Any language, but C++ is the most prefrred.</t>
        </is>
      </c>
      <c r="H17" s="283" t="n"/>
    </row>
    <row r="18" ht="15.75" customHeight="1" s="279">
      <c r="B18" s="283" t="n"/>
      <c r="H18" s="283" t="n"/>
    </row>
    <row r="19" ht="15.75" customHeight="1" s="279">
      <c r="A19" s="294" t="n"/>
      <c r="B19" s="298" t="inlineStr">
        <is>
          <t>Coupons</t>
        </is>
      </c>
      <c r="F19" s="295" t="n"/>
      <c r="G19" s="295" t="n"/>
      <c r="H19" s="295" t="n"/>
    </row>
    <row r="20" ht="15.75" customHeight="1" s="279">
      <c r="A20" s="299" t="inlineStr">
        <is>
          <t>My Relevant 
UDEMY courses</t>
        </is>
      </c>
    </row>
    <row r="21" ht="15.75" customHeight="1" s="279">
      <c r="B21" s="300" t="inlineStr">
        <is>
          <t>Mastering 4 critical SKILLS using C++ 17</t>
        </is>
      </c>
      <c r="F21" s="301" t="inlineStr">
        <is>
          <t>Specifically content till project #3</t>
        </is>
      </c>
    </row>
    <row r="22" ht="15.75" customHeight="1" s="279">
      <c r="B22" s="300" t="inlineStr">
        <is>
          <t xml:space="preserve">Mastering critical SKILLS in Data Structures using C++ </t>
        </is>
      </c>
      <c r="F22" s="302" t="n"/>
      <c r="G22" s="295" t="n"/>
      <c r="H22" s="295" t="n"/>
    </row>
    <row r="23" ht="15.75" customHeight="1" s="279">
      <c r="B23" s="300" t="inlineStr">
        <is>
          <t>Mastering critical SKILLS for Algorithms in C++</t>
        </is>
      </c>
      <c r="F23" s="295" t="n"/>
      <c r="G23" s="295" t="n"/>
      <c r="H23" s="295" t="n"/>
    </row>
    <row r="24" ht="15.75" customHeight="1" s="279">
      <c r="B24" s="300" t="inlineStr">
        <is>
          <t>Mastering critical SKILLS for Coding Interviews</t>
        </is>
      </c>
      <c r="F24" s="303" t="n"/>
      <c r="G24" s="303" t="n"/>
      <c r="H24" s="303" t="n"/>
    </row>
    <row r="25" ht="15.75" customHeight="1" s="279">
      <c r="B25" s="300" t="inlineStr">
        <is>
          <t>Mastering 4 critical SKILLS using Python</t>
        </is>
      </c>
      <c r="F25" s="304" t="n"/>
      <c r="G25" s="304" t="n"/>
      <c r="H25" s="304" t="n"/>
    </row>
    <row r="26" ht="15.75" customHeight="1" s="279">
      <c r="A26" s="294" t="n"/>
      <c r="B26" s="295" t="n"/>
      <c r="C26" s="295" t="n"/>
      <c r="D26" s="295" t="n"/>
      <c r="E26" s="295" t="n"/>
      <c r="F26" s="295" t="n"/>
      <c r="G26" s="295" t="n"/>
      <c r="H26" s="295" t="n"/>
    </row>
    <row r="27" ht="15.75" customHeight="1" s="279">
      <c r="A27" s="305" t="inlineStr">
        <is>
          <t>Discord Channel</t>
        </is>
      </c>
      <c r="B27" s="301" t="inlineStr">
        <is>
          <t>Read the rules. Interact with others</t>
        </is>
      </c>
      <c r="H27" s="295" t="n"/>
    </row>
    <row r="28" ht="15.75" customHeight="1" s="279">
      <c r="A28" s="294" t="n"/>
      <c r="B28" s="295" t="n"/>
      <c r="C28" s="295" t="n"/>
      <c r="D28" s="295" t="n"/>
      <c r="E28" s="295" t="n"/>
      <c r="F28" s="295" t="n"/>
      <c r="G28" s="295" t="n"/>
      <c r="H28" s="295" t="n"/>
    </row>
    <row r="29" ht="124.5" customHeight="1" s="279">
      <c r="A29" s="280" t="inlineStr">
        <is>
          <t>What is this Sheet?</t>
        </is>
      </c>
      <c r="B29" s="282" t="inlineStr">
        <is>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is>
      </c>
    </row>
    <row r="30" ht="247.5" customHeight="1" s="279">
      <c r="A30" s="280" t="inlineStr">
        <is>
          <t>How to train?</t>
        </is>
      </c>
      <c r="B30" s="282" t="inlineStr">
        <is>
          <t>- You can train in one of the following ways:
- A) Blind-Order training style
- Problems are distributed in sheets A, B, C1, C2, D1, D2, D3
- This one is a roadmap. It targets learning the knowledge/skills in a consistent and balanced way
- Every sheet page is on average harder than the previous sheet page
- This is my recommended way, though most camps/training-approaches don't use this style
- B) Topics-Based training style
- See sheet page (Topics). It has the same sheet problems (A to D3) ordered by category and level, around 950 problems
- Ideas Quality column: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is>
      </c>
    </row>
    <row r="31" ht="15.75" customHeight="1" s="279">
      <c r="A31" s="288" t="n"/>
      <c r="B31" s="283" t="n"/>
      <c r="C31" s="283" t="n"/>
      <c r="D31" s="283" t="n"/>
      <c r="E31" s="283" t="n"/>
      <c r="F31" s="283" t="n"/>
      <c r="G31" s="283" t="n"/>
      <c r="H31" s="283" t="n"/>
    </row>
    <row r="32" ht="113.25" customHeight="1" s="279">
      <c r="A32" s="280" t="inlineStr">
        <is>
          <t>Advantages of this Sheet?</t>
        </is>
      </c>
      <c r="B32" s="282" t="inlineStr">
        <is>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is>
      </c>
    </row>
    <row r="33" ht="15.75" customHeight="1" s="279">
      <c r="A33" s="288" t="n"/>
      <c r="B33" s="283" t="n"/>
      <c r="C33" s="283" t="n"/>
      <c r="D33" s="283" t="n"/>
      <c r="E33" s="283" t="n"/>
      <c r="F33" s="283" t="n"/>
      <c r="G33" s="283" t="n"/>
      <c r="H33" s="283" t="n"/>
    </row>
    <row r="34" ht="191.25" customHeight="1" s="279">
      <c r="A34" s="306" t="inlineStr">
        <is>
          <t>Your Sheet COPY</t>
        </is>
      </c>
      <c r="B34" s="282" t="inlineStr">
        <is>
          <t>This is a personal Google sheet for you [Make a copy from file MENU] to have sets of problems to solve coupled with algorithms to learn
- Don't download the sheet, Use it online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Sheet &lt;Your name&gt;
- Now the copied sheet is opened for you (or go inside ur Google drive and you will find it)
NOTE: If u did so and still read-only format, then you are again opening my sheet (e.g. with old name), NOT your copy</t>
        </is>
      </c>
    </row>
    <row r="35" ht="15.75" customHeight="1" s="279">
      <c r="A35" s="280" t="inlineStr">
        <is>
          <t>For Whom?</t>
        </is>
      </c>
      <c r="B35" s="282" t="inlineStr">
        <is>
          <t>A junior is anyone who does't master solving codeforces Div2-D.</t>
        </is>
      </c>
    </row>
    <row r="36" ht="15.75" customHeight="1" s="279">
      <c r="A36" s="307" t="n"/>
      <c r="B36" s="283" t="n"/>
      <c r="C36" s="283" t="n"/>
      <c r="D36" s="291" t="n"/>
      <c r="E36" s="283" t="n"/>
      <c r="F36" s="283" t="n"/>
      <c r="G36" s="283" t="n"/>
      <c r="H36" s="308" t="n"/>
    </row>
    <row r="37" ht="15.75" customHeight="1" s="279">
      <c r="A37" s="309" t="n"/>
      <c r="B37" s="283" t="n"/>
      <c r="C37" s="283" t="n"/>
      <c r="D37" s="283" t="n"/>
      <c r="E37" s="283" t="n"/>
      <c r="F37" s="283" t="n"/>
      <c r="G37" s="283" t="n"/>
      <c r="H37" s="283" t="n"/>
    </row>
    <row r="38" ht="23.25" customHeight="1" s="279">
      <c r="A38" s="280" t="inlineStr">
        <is>
          <t>Skills Goals</t>
        </is>
      </c>
      <c r="B38" s="282" t="inlineStr">
        <is>
          <t>Moving from Junior Level to Semi-Senior Level: A one who do pretty well in CF-Div2 A, B, C, D and similar levels (e.g. TC-Div2-1000)</t>
        </is>
      </c>
    </row>
    <row r="39" ht="23.25" customHeight="1" s="279">
      <c r="A39" s="280" t="inlineStr">
        <is>
          <t>Knowledge Goals</t>
        </is>
      </c>
      <c r="B39" s="282" t="inlineStr">
        <is>
          <t>Understand and build fair knowledge in some algorithms in Number Theory, Dynamic Programming, Greedy, Graph Theory and Search</t>
        </is>
      </c>
    </row>
    <row r="40" ht="15.75" customHeight="1" s="279">
      <c r="A40" s="309" t="n"/>
      <c r="B40" s="283" t="n"/>
      <c r="C40" s="283" t="n"/>
      <c r="D40" s="283" t="n"/>
      <c r="E40" s="283" t="n"/>
      <c r="F40" s="283" t="n"/>
      <c r="G40" s="283" t="n"/>
      <c r="H40" s="283" t="n"/>
    </row>
    <row r="41" ht="15.75" customHeight="1" s="279">
      <c r="A41" s="280" t="inlineStr">
        <is>
          <t>Sheets</t>
        </is>
      </c>
      <c r="B41" s="282" t="inlineStr">
        <is>
          <t>Sheet pages are mainly for Codeforces Div2 A, B, C, D + Problems on knolwdge topics (Mainly from UVA, SPOJ)</t>
        </is>
      </c>
    </row>
    <row r="42" ht="23.25" customHeight="1" s="279">
      <c r="B42" s="282" t="inlineStr">
        <is>
          <t>Each sheet has some sets, each set is ~10-15 problems....The top sets are mandatory....The below sets (after line mark) are optional</t>
        </is>
      </c>
    </row>
    <row r="43" ht="23.25" customHeight="1" s="279">
      <c r="B43" s="282" t="inlineStr">
        <is>
          <t>If you did well in the mandatory sets, move to next sheet...otherwise you still need training on similar level...then solve the optional problems</t>
        </is>
      </c>
    </row>
    <row r="44" ht="15.75" customHeight="1" s="279">
      <c r="B44" s="282" t="inlineStr">
        <is>
          <t>Please watch the videos in order, solve UVA/SPOJ problems in order. Don't skip them.</t>
        </is>
      </c>
    </row>
    <row r="45" ht="23.25" customHeight="1" s="279">
      <c r="B45" s="282" t="inlineStr">
        <is>
          <t>In some columns, some time recordings. This helps you to know how much time you take per a problem...use that to recognize your problems</t>
        </is>
      </c>
    </row>
    <row r="46" ht="23.25" customHeight="1" s="279">
      <c r="B46" s="282" t="inlineStr">
        <is>
          <t>In the level column give an estimate to the problem level from 1-2 (easy), 3-4 (medium), 5-6(hard), 7-8 (had to read editorials), 9-10 (can't solve)</t>
        </is>
      </c>
    </row>
    <row r="47" ht="15.75" customHeight="1" s="279">
      <c r="B47" s="282" t="inlineStr">
        <is>
          <t>In the comments column..write comments for hard problems.</t>
        </is>
      </c>
    </row>
    <row r="48" ht="23.25" customHeight="1" s="279">
      <c r="B48" s="291">
        <f>HYPERLINK("https://uva.onlinejudge.org/index.php?option=com_content&amp;task=view&amp;id=16&amp;Itemid=31","Put problem Status")</f>
        <v/>
      </c>
      <c r="C48" s="310" t="inlineStr">
        <is>
          <t>AC (for Accepted)</t>
        </is>
      </c>
      <c r="D48" s="310" t="inlineStr">
        <is>
          <t>CS (can't solve)</t>
        </is>
      </c>
      <c r="E48" s="310" t="inlineStr">
        <is>
          <t>Other values: WA (wrong answer), TLE (time limit exceeded), RTE, MLE</t>
        </is>
      </c>
    </row>
    <row r="49" ht="15.75" customHeight="1" s="279">
      <c r="B49" s="282" t="inlineStr">
        <is>
          <t>If you solved a problem before, put ACX instead of AC. Don't resolve</t>
        </is>
      </c>
    </row>
    <row r="50" ht="23.25" customHeight="1" s="279">
      <c r="B50" s="282" t="inlineStr">
        <is>
          <t>Don't let a problem consumes more than 2-3 hours. If can't solve it, see editorials/solutions. If still can't solve it, just leave it for now.</t>
        </is>
      </c>
    </row>
    <row r="51" ht="15.75" customHeight="1" s="279">
      <c r="B51" s="282" t="inlineStr">
        <is>
          <t>Don't compare yourself with others. People vary in their progress</t>
        </is>
      </c>
    </row>
    <row r="52" ht="15.75" customHeight="1" s="279">
      <c r="A52" s="309" t="n"/>
      <c r="B52" s="283" t="n"/>
      <c r="C52" s="283" t="n"/>
      <c r="D52" s="283" t="n"/>
      <c r="E52" s="283" t="n"/>
      <c r="F52" s="283" t="n"/>
      <c r="G52" s="283" t="n"/>
      <c r="H52" s="283" t="n"/>
    </row>
    <row r="53" ht="147" customHeight="1" s="279">
      <c r="A53" s="311" t="inlineStr">
        <is>
          <t>Problem Level Column</t>
        </is>
      </c>
      <c r="B53" s="282" t="inlineStr">
        <is>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is>
      </c>
    </row>
    <row r="54" ht="15.75" customHeight="1" s="279">
      <c r="A54" s="309" t="n"/>
      <c r="B54" s="283" t="n"/>
      <c r="C54" s="283" t="n"/>
      <c r="D54" s="283" t="n"/>
      <c r="E54" s="283" t="n"/>
      <c r="F54" s="283" t="n"/>
      <c r="G54" s="283" t="n"/>
      <c r="H54" s="283" t="n"/>
    </row>
    <row r="55" ht="23.25" customHeight="1" s="279">
      <c r="A55" s="280" t="inlineStr">
        <is>
          <t>Notations</t>
        </is>
      </c>
      <c r="B55" s="291">
        <f>HYPERLINK("http://codeforces.com/contest/136/problem/A","CF136-D2-A")</f>
        <v/>
      </c>
      <c r="C55" s="282" t="inlineStr">
        <is>
          <t>CF (codeforces), D2 (Division 2), (136, A) is the problem URL. Note this is not Round 136 ... it is Round 97</t>
        </is>
      </c>
    </row>
    <row r="56" ht="23.25" customHeight="1" s="279">
      <c r="B56" s="282" t="inlineStr">
        <is>
          <t>SRM150-D2-1000</t>
        </is>
      </c>
      <c r="C56" s="282" t="inlineStr">
        <is>
          <t>SRM 150 (Topcoder), D2 (Division 2), 1000 (3rd problem)</t>
        </is>
      </c>
    </row>
    <row r="57" ht="15.75" customHeight="1" s="279">
      <c r="A57" s="309" t="n"/>
      <c r="B57" s="312" t="inlineStr">
        <is>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is>
      </c>
      <c r="C57" s="313" t="n"/>
      <c r="D57" s="313" t="n"/>
      <c r="E57" s="313" t="n"/>
      <c r="F57" s="313" t="n"/>
      <c r="G57" s="313" t="n"/>
      <c r="H57" s="314" t="n"/>
    </row>
    <row r="58" ht="15.75" customHeight="1" s="279">
      <c r="A58" s="309" t="n"/>
      <c r="B58" s="283" t="n"/>
      <c r="C58" s="283" t="n"/>
      <c r="D58" s="283" t="n"/>
      <c r="E58" s="283" t="n"/>
      <c r="F58" s="283" t="n"/>
      <c r="G58" s="283" t="n"/>
      <c r="H58" s="283" t="n"/>
    </row>
    <row r="59" ht="15.75" customHeight="1" s="279">
      <c r="A59" s="280" t="inlineStr">
        <is>
          <t>Problems Colors</t>
        </is>
      </c>
      <c r="B59" s="315">
        <f>HYPERLINK("http://codeforces.com/contest/483/problem/A","CF483-D2-A")</f>
        <v/>
      </c>
    </row>
    <row r="60" ht="15.75" customHeight="1" s="279">
      <c r="B60" s="316">
        <f>HYPERLINK("https://uva.onlinejudge.org/index.php?option=onlinejudge&amp;page=show_problem&amp;problem=1183","UVA 10242")</f>
        <v/>
      </c>
      <c r="C60" s="301" t="inlineStr">
        <is>
          <t>Basic (if possible) Knowledge problem on the just watched videos</t>
        </is>
      </c>
    </row>
    <row r="61" ht="15.75" customHeight="1" s="279">
      <c r="B61" s="317">
        <f>HYPERLINK("http://www.spoj.com/problems/CDOWN/","SPOJ CDOWN")</f>
        <v/>
      </c>
      <c r="C61" s="301" t="inlineStr">
        <is>
          <t>A knowledge problem on topic you watched before, will be harder than basic problems</t>
        </is>
      </c>
    </row>
    <row r="62" ht="17.25" customHeight="1" s="279">
      <c r="B62" s="318">
        <f>HYPERLINK("http://codeforces.com/contest/518/problem/B","CF518-D2-B")</f>
        <v/>
      </c>
      <c r="C62" s="301" t="inlineStr">
        <is>
          <t>Problem of easier level than current sheet page level to enhance multiple training levels in same time instead of 1 level training</t>
        </is>
      </c>
    </row>
    <row r="63" ht="15.75" customHeight="1" s="279">
      <c r="A63" s="309" t="n"/>
      <c r="B63" s="295" t="n"/>
      <c r="C63" s="295" t="n"/>
      <c r="D63" s="295" t="n"/>
      <c r="E63" s="295" t="n"/>
      <c r="F63" s="295" t="n"/>
      <c r="G63" s="295" t="n"/>
      <c r="H63" s="295" t="n"/>
    </row>
    <row r="64" ht="23.25" customHeight="1" s="279">
      <c r="A64" s="280" t="inlineStr">
        <is>
          <t>Moving faster</t>
        </is>
      </c>
      <c r="B64" s="301" t="inlineStr">
        <is>
          <t>Do I have to solve every problem? For Div2 (A, B, C1) =&gt; No. If you can move faster, do it. For Non CF problems (E.g. UVA), please solve all</t>
        </is>
      </c>
    </row>
    <row r="65" ht="15.75" customHeight="1" s="279">
      <c r="A65" s="309" t="n"/>
      <c r="B65" s="295" t="n"/>
      <c r="C65" s="295" t="n"/>
      <c r="D65" s="295" t="n"/>
      <c r="E65" s="295" t="n"/>
      <c r="F65" s="295" t="n"/>
      <c r="G65" s="295" t="n"/>
      <c r="H65" s="295" t="n"/>
    </row>
    <row r="66" ht="23.25" customHeight="1" s="279">
      <c r="A66" s="280" t="inlineStr">
        <is>
          <t>Others Solutions</t>
        </is>
      </c>
      <c r="B66" s="301" t="inlineStr">
        <is>
          <t>If you solved a problem, please see some other accepted solutions in codeforces. You don't need to watch my linked videos unless can't solve</t>
        </is>
      </c>
    </row>
    <row r="67" ht="15.75" customHeight="1" s="279">
      <c r="A67" s="309" t="n"/>
      <c r="B67" s="295" t="n"/>
      <c r="C67" s="295" t="n"/>
      <c r="D67" s="295" t="n"/>
      <c r="E67" s="295" t="n"/>
      <c r="F67" s="295" t="n"/>
      <c r="G67" s="295" t="n"/>
      <c r="H67" s="295" t="n"/>
    </row>
    <row r="68" ht="23.25" customHeight="1" s="279">
      <c r="A68" s="280" t="inlineStr">
        <is>
          <t>External Resources</t>
        </is>
      </c>
      <c r="B68" s="319">
        <f>HYPERLINK("https://github.com/lnishan/awesome-competitive-programming","Awesome Competitive Programming")</f>
        <v/>
      </c>
      <c r="D68" s="282" t="inlineStr">
        <is>
          <t>Many awesome links - very helpful for English guys</t>
        </is>
      </c>
    </row>
    <row r="69" ht="15.75" customHeight="1" s="279">
      <c r="B69" s="319">
        <f>HYPERLINK("https://github.com/AhmadElsagheer/Competitive-programming-library/tree/master/curriculum","Ahmed Elsaghir Trainnig")</f>
        <v/>
      </c>
      <c r="D69" s="282" t="inlineStr">
        <is>
          <t>Ahmed is senior from GUC</t>
        </is>
      </c>
    </row>
    <row r="70" ht="15.75" customHeight="1" s="279">
      <c r="B70" s="319">
        <f>HYPERLINK("https://a2oj.com/ladders","A2oj Ladders")</f>
        <v/>
      </c>
      <c r="D70" s="282" t="inlineStr">
        <is>
          <t>Don't like my sheet? Go with Ahmed Aly Ladders</t>
        </is>
      </c>
    </row>
    <row r="71" ht="15.75" customHeight="1" s="279">
      <c r="B71" s="319">
        <f>HYPERLINK("https://www.youtube.com/watch?v=mUSajNUEWxg&amp;list=PLb7yniFBnvZIdfxYIKqNlGsTf5oZy4dKk","Prgramming Ahmed M sayd")</f>
        <v/>
      </c>
      <c r="D71" s="282" t="inlineStr">
        <is>
          <t>Arabic Programming Playlist</t>
        </is>
      </c>
    </row>
    <row r="72" ht="15.75" customHeight="1" s="279">
      <c r="B72" s="291" t="inlineStr">
        <is>
          <t>Programming Mohamed desouky</t>
        </is>
      </c>
      <c r="D72" s="282" t="inlineStr">
        <is>
          <t>Arabic Programming Playlist</t>
        </is>
      </c>
    </row>
    <row r="73" ht="15.75" customHeight="1" s="279">
      <c r="B73" s="319">
        <f>HYPERLINK("https://www.youtube.com/playlist?list=PLPt2dINI2MIZi6jW3pFvP9AHDsNi5XlD1","More Resources")</f>
        <v/>
      </c>
      <c r="C73" s="283" t="n"/>
      <c r="D73" s="282" t="inlineStr">
        <is>
          <t xml:space="preserve">Each video is part of a playlist </t>
        </is>
      </c>
    </row>
    <row r="74" ht="15.75" customHeight="1" s="279">
      <c r="A74" s="309" t="n"/>
      <c r="B74" s="283" t="n"/>
      <c r="C74" s="283" t="n"/>
      <c r="D74" s="283" t="n"/>
      <c r="E74" s="283" t="n"/>
      <c r="F74" s="283" t="n"/>
      <c r="G74" s="283" t="n"/>
      <c r="H74" s="283" t="n"/>
    </row>
    <row r="75" ht="15.75" customHeight="1" s="279">
      <c r="A75" s="280" t="inlineStr">
        <is>
          <t>History</t>
        </is>
      </c>
      <c r="B75" s="320" t="inlineStr">
        <is>
          <t>V1: initial release</t>
        </is>
      </c>
    </row>
    <row r="76" ht="23.25" customHeight="1" s="279">
      <c r="B76" s="320" t="inlineStr">
        <is>
          <t>V2: Vidoes updates. Sheet P2A: Little problems replaced + reordering. P2B, P2C, P2D merged in P2B. P3A and P3B: new knowledge sheets</t>
        </is>
      </c>
    </row>
    <row r="77" ht="15.75" customHeight="1" s="279">
      <c r="B77" s="282" t="inlineStr">
        <is>
          <t>V3: Added problem names. P3A, P3B split over 3 sheets, reordered to be more incremental rather than random</t>
        </is>
      </c>
    </row>
    <row r="78" ht="90.75" customHeight="1" s="279">
      <c r="B78" s="282" t="inlineStr">
        <is>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is>
      </c>
    </row>
    <row r="79" ht="15.75" customHeight="1" s="279">
      <c r="B79" s="282" t="inlineStr">
        <is>
          <t>V5</t>
        </is>
      </c>
      <c r="C79" s="283" t="n"/>
      <c r="D79" s="283" t="n"/>
      <c r="E79" s="283" t="n"/>
      <c r="F79" s="283" t="n"/>
      <c r="G79" s="283" t="n"/>
      <c r="H79" s="283" t="n"/>
    </row>
    <row r="80" ht="124.5" customHeight="1" s="279">
      <c r="B80" s="282" t="inlineStr">
        <is>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is>
      </c>
    </row>
    <row r="81" ht="168.75" customHeight="1" s="279">
      <c r="B81" s="282" t="inlineStr">
        <is>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is>
      </c>
    </row>
    <row r="82" ht="15.75" customHeight="1" s="279">
      <c r="A82" s="321" t="n"/>
      <c r="B82" s="295" t="n"/>
      <c r="C82" s="295" t="n"/>
      <c r="D82" s="295" t="n"/>
      <c r="E82" s="295" t="n"/>
      <c r="F82" s="295" t="n"/>
      <c r="G82" s="295" t="n"/>
      <c r="H82" s="295" t="n"/>
    </row>
    <row r="83" ht="15.75" customHeight="1" s="279">
      <c r="A83" s="321" t="n"/>
      <c r="B83" s="295" t="n"/>
      <c r="C83" s="295" t="n"/>
      <c r="D83" s="295" t="n"/>
      <c r="E83" s="295" t="n"/>
      <c r="F83" s="295" t="n"/>
      <c r="G83" s="295" t="n"/>
      <c r="H83" s="295" t="n"/>
    </row>
    <row r="84" ht="30.75" customHeight="1" s="279">
      <c r="A84" s="322" t="inlineStr">
        <is>
          <t>Thanks for all guys who sent sheet feedback: Mariam Alshereef, Magdy Hassan, Ahmed Yasser, Ahmed Elsayed Awad, Mohamed Nasser, Mostafa Ali Mansour, Aya elymany, Ayyad shenouda, Others.</t>
        </is>
      </c>
    </row>
    <row r="85" ht="15.75" customHeight="1" s="279">
      <c r="A85" s="323" t="inlineStr">
        <is>
          <t>Special Thanks for Coach Alhussain Aly for his continuous help</t>
        </is>
      </c>
    </row>
    <row r="86" ht="15.75" customHeight="1" s="279">
      <c r="A86" s="324" t="inlineStr">
        <is>
          <t>Special Thanks for All volunteers in videos recording / editorials writing</t>
        </is>
      </c>
    </row>
  </sheetData>
  <mergeCells count="78">
    <mergeCell ref="C55:H55"/>
    <mergeCell ref="B16:F16"/>
    <mergeCell ref="B49:H49"/>
    <mergeCell ref="B64:H64"/>
    <mergeCell ref="A41:A51"/>
    <mergeCell ref="B51:H51"/>
    <mergeCell ref="B32:H32"/>
    <mergeCell ref="B41:H41"/>
    <mergeCell ref="B35:H35"/>
    <mergeCell ref="C61:H61"/>
    <mergeCell ref="B22:E22"/>
    <mergeCell ref="B69:C69"/>
    <mergeCell ref="B66:H66"/>
    <mergeCell ref="A86:H86"/>
    <mergeCell ref="B21:E21"/>
    <mergeCell ref="B2:H2"/>
    <mergeCell ref="B42:H42"/>
    <mergeCell ref="B23:E23"/>
    <mergeCell ref="B44:H44"/>
    <mergeCell ref="B53:H53"/>
    <mergeCell ref="B29:H29"/>
    <mergeCell ref="A68:A73"/>
    <mergeCell ref="F21:H21"/>
    <mergeCell ref="B3:C3"/>
    <mergeCell ref="B8:D8"/>
    <mergeCell ref="B17:D17"/>
    <mergeCell ref="B13:G13"/>
    <mergeCell ref="B80:H80"/>
    <mergeCell ref="B10:D10"/>
    <mergeCell ref="B9:D9"/>
    <mergeCell ref="B25:E25"/>
    <mergeCell ref="A84:H84"/>
    <mergeCell ref="B81:H81"/>
    <mergeCell ref="E48:H48"/>
    <mergeCell ref="B43:H43"/>
    <mergeCell ref="A85:H85"/>
    <mergeCell ref="C62:H62"/>
    <mergeCell ref="D68:H68"/>
    <mergeCell ref="B57:H57"/>
    <mergeCell ref="A16:A18"/>
    <mergeCell ref="B27:G27"/>
    <mergeCell ref="B34:H34"/>
    <mergeCell ref="B11:G11"/>
    <mergeCell ref="D69:H69"/>
    <mergeCell ref="B72:C72"/>
    <mergeCell ref="B30:H30"/>
    <mergeCell ref="B24:E24"/>
    <mergeCell ref="C56:H56"/>
    <mergeCell ref="B71:C71"/>
    <mergeCell ref="B76:H76"/>
    <mergeCell ref="B45:H45"/>
    <mergeCell ref="B75:H75"/>
    <mergeCell ref="B7:E7"/>
    <mergeCell ref="B47:H47"/>
    <mergeCell ref="B46:H46"/>
    <mergeCell ref="A1:A14"/>
    <mergeCell ref="B39:H39"/>
    <mergeCell ref="D71:H71"/>
    <mergeCell ref="D73:H73"/>
    <mergeCell ref="B5:C5"/>
    <mergeCell ref="B18:G18"/>
    <mergeCell ref="B19:E19"/>
    <mergeCell ref="A75:A81"/>
    <mergeCell ref="B70:C70"/>
    <mergeCell ref="B50:H50"/>
    <mergeCell ref="C60:H60"/>
    <mergeCell ref="B4:E4"/>
    <mergeCell ref="A55:A56"/>
    <mergeCell ref="B14:F14"/>
    <mergeCell ref="D70:H70"/>
    <mergeCell ref="D72:H72"/>
    <mergeCell ref="B77:H77"/>
    <mergeCell ref="B68:C68"/>
    <mergeCell ref="B1:H1"/>
    <mergeCell ref="A20:A25"/>
    <mergeCell ref="B38:H38"/>
    <mergeCell ref="B78:H78"/>
    <mergeCell ref="A59:A62"/>
  </mergeCells>
  <hyperlinks>
    <hyperlink xmlns:r="http://schemas.openxmlformats.org/officeDocument/2006/relationships" ref="D5" display="Site" r:id="rId1"/>
    <hyperlink xmlns:r="http://schemas.openxmlformats.org/officeDocument/2006/relationships" ref="B8" display="English Speakers" r:id="rId2"/>
    <hyperlink xmlns:r="http://schemas.openxmlformats.org/officeDocument/2006/relationships" ref="B10" display="New Video explaining the sheet (Arabic)" r:id="rId3"/>
    <hyperlink xmlns:r="http://schemas.openxmlformats.org/officeDocument/2006/relationships" ref="B11" display="To know how an online judge work: watch 2 videos Online Judge and Codeforces. In near future, finish all of it" r:id="rId4"/>
    <hyperlink xmlns:r="http://schemas.openxmlformats.org/officeDocument/2006/relationships" ref="B13" display="Once you are DONE with this sheet, utilize this supervision general pool or use it for ider topics-based training" r:id="rId5"/>
    <hyperlink xmlns:r="http://schemas.openxmlformats.org/officeDocument/2006/relationships" ref="G14" display="Interviews" r:id="rId6"/>
    <hyperlink xmlns:r="http://schemas.openxmlformats.org/officeDocument/2006/relationships" ref="B19" display="Coupons" r:id="rId7"/>
    <hyperlink xmlns:r="http://schemas.openxmlformats.org/officeDocument/2006/relationships" ref="B21" display="Mastering 4 critical SKILLS using C++ 17" r:id="rId8"/>
    <hyperlink xmlns:r="http://schemas.openxmlformats.org/officeDocument/2006/relationships" ref="B22" display="Mastering critical SKILLS in Data Structures using C++ " r:id="rId9"/>
    <hyperlink xmlns:r="http://schemas.openxmlformats.org/officeDocument/2006/relationships" ref="B23" display="Mastering critical SKILLS for Algorithms in C++" r:id="rId10"/>
    <hyperlink xmlns:r="http://schemas.openxmlformats.org/officeDocument/2006/relationships" ref="B24" display="Mastering critical SKILLS for Coding Interviews" r:id="rId11"/>
    <hyperlink xmlns:r="http://schemas.openxmlformats.org/officeDocument/2006/relationships" ref="B25" display="Mastering 4 critical SKILLS using Python" r:id="rId12"/>
    <hyperlink xmlns:r="http://schemas.openxmlformats.org/officeDocument/2006/relationships" ref="A27" display="Discord Channel" r:id="rId13"/>
    <hyperlink xmlns:r="http://schemas.openxmlformats.org/officeDocument/2006/relationships" ref="B57" display="For Topcoder:&#10;&#10;If using the applet arena, then we normally use SRM number (the old way)&#10;However, if using the web arena, you need first the problem name itself! (the new way - https://arena.topcoder.com/)&#10;&#10;The fastest way to get problem name is from the editorial if exist&#10;&#10;https://apps.topcoder.com/wiki/display/tc/Algorithm+Problem+Set+Analysis                      [LOGIN here first]&#10;https://www.topcoder.com/tc?d1=match_editorials&amp;d2=archive&amp;module=Static&#10;https://www.topcoder.com/blog/tag/srm-editorials/  [for recent SRMs]&#10;&#10;How to see contest submissions: https://www.quora.com/Where-can-I-find-the-solutions-to-the-problems-in-TopCoder&#10;&#10;Otherwise from match archive: https://www.topcoder.com/tc?module=MatchList&#10;&#10;For notes and tricks for using Java arena applet: See https://goo.gl/Q43tRL. We can download code with all cases on local machine and code normally.&#10;&#10;Topcoder nowadays maybe slow. So wait for 5 min for a problem to open. If did not work, try in another day&#10;https://codeforces.com/blog/entry/61252" r:id="rId14"/>
    <hyperlink xmlns:r="http://schemas.openxmlformats.org/officeDocument/2006/relationships" ref="B72" display="Programming Mohamed desouky" r:id="rId15"/>
  </hyperlinks>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M168"/>
  <sheetViews>
    <sheetView showFormulas="0" showGridLines="1" showRowColHeaders="1" showZeros="1" rightToLeft="0" tabSelected="0"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baseColWidth="8" defaultColWidth="15.12890625" defaultRowHeight="15.75" zeroHeight="0" outlineLevelRow="0"/>
  <cols>
    <col width="13.75" customWidth="1" style="278" min="1" max="1"/>
    <col width="17.25" customWidth="1" style="278" min="2" max="2"/>
    <col width="6" customWidth="1" style="278" min="3" max="3"/>
    <col width="6.63" customWidth="1" style="278" min="4" max="4"/>
    <col width="7.38" customWidth="1" style="278" min="5" max="5"/>
    <col width="7.63" customWidth="1" style="278" min="6" max="6"/>
    <col width="8.75" customWidth="1" style="278" min="7" max="7"/>
    <col width="7.5" customWidth="1" style="278" min="8" max="9"/>
    <col width="8.75" customWidth="1" style="278" min="10" max="12"/>
    <col width="66" customWidth="1" style="278" min="13" max="13"/>
  </cols>
  <sheetData>
    <row r="1" ht="45.75" customHeight="1" s="279">
      <c r="A1" s="456" t="inlineStr">
        <is>
          <t>Problem Name</t>
        </is>
      </c>
      <c r="B1" s="400" t="inlineStr">
        <is>
          <t>Problem Code</t>
        </is>
      </c>
      <c r="C1" s="401" t="inlineStr">
        <is>
          <t>Status</t>
        </is>
      </c>
      <c r="D1" s="401" t="inlineStr">
        <is>
          <t>Submit Count</t>
        </is>
      </c>
      <c r="E1" s="401" t="inlineStr">
        <is>
          <t>Reading Time(m)</t>
        </is>
      </c>
      <c r="F1" s="401" t="inlineStr">
        <is>
          <t>Thinking Time(m)</t>
        </is>
      </c>
      <c r="G1" s="401" t="inlineStr">
        <is>
          <t>Coding Time(m)</t>
        </is>
      </c>
      <c r="H1" s="401" t="inlineStr">
        <is>
          <t>Debug Time(m)</t>
        </is>
      </c>
      <c r="I1" s="401" t="inlineStr">
        <is>
          <t>Total Time(m)</t>
        </is>
      </c>
      <c r="J1" s="401" t="inlineStr">
        <is>
          <t>Problem Level /10</t>
        </is>
      </c>
      <c r="K1" s="401" t="inlineStr">
        <is>
          <t>By yourself?</t>
        </is>
      </c>
      <c r="L1" s="401" t="inlineStr">
        <is>
          <t>Category</t>
        </is>
      </c>
      <c r="M1" s="402" t="inlineStr">
        <is>
          <t>1-2 line Comments
About your approach</t>
        </is>
      </c>
    </row>
    <row r="2" ht="15.75" customHeight="1" s="279">
      <c r="A2" s="457" t="n"/>
      <c r="B2" s="301" t="inlineStr">
        <is>
          <t>AC Averages =&gt;</t>
        </is>
      </c>
      <c r="C2" s="405">
        <f>COUNTIF(C3:C10556, "AC")</f>
        <v/>
      </c>
      <c r="D2" s="405">
        <f>ROUND(SUMPRODUCT(D3:D10556,INT(eq(C3:C10556, "AC")))/MAX(1, C2),1)</f>
        <v/>
      </c>
      <c r="E2" s="405">
        <f>ROUND(SUMPRODUCT(E3:E10578,INT(eq(C3:C10578, "AC")))/MAX(1, C2),0)</f>
        <v/>
      </c>
      <c r="F2" s="405">
        <f>ROUND(SUMPRODUCT(F3:F10581,INT(eq(C3:C10581, "AC")))/MAX(1, C2),0)</f>
        <v/>
      </c>
      <c r="G2" s="405">
        <f>ROUND(SUMPRODUCT(G3:G10581,INT(eq(C3:C10581, "AC")))/MAX(1, C2),0)</f>
        <v/>
      </c>
      <c r="H2" s="405">
        <f>ROUND(SUMPRODUCT(H3:H10581,INT(eq(C3:C10581, "AC")))/MAX(1, C2),0)</f>
        <v/>
      </c>
      <c r="I2" s="405">
        <f>ROUND(SUMPRODUCT(I3:I10553,INT(eq(C3:C10553, "AC")))/MAX(1, C2),0)</f>
        <v/>
      </c>
      <c r="J2" s="405">
        <f>ROUND(SUMPRODUCT(J3:J10551,INT(eq(C3:C10551, "AC")))/MAX(1, C2),1)</f>
        <v/>
      </c>
      <c r="K2" s="405">
        <f>SUMPRODUCT(eq(K3:K10556, "YES"),INT(eq(C3:C10581, "AC")))</f>
        <v/>
      </c>
      <c r="L2" s="405">
        <f>IFERROR(__xludf.dummyfunction("COUNTA(FILTER(C3:C10048, NOT(REGEXMATCH(C3:C10048, ""AC""))))"),0)</f>
        <v/>
      </c>
      <c r="M2" s="406">
        <f>IFERROR(__xludf.dummyfunction("COUNTA(FILTER(C3:C10042, NOT(REGEXMATCH(C3:C10042, ""AC""))))"),0)</f>
        <v/>
      </c>
    </row>
    <row r="3" ht="15.75" customHeight="1" s="279">
      <c r="C3" s="418" t="n"/>
      <c r="D3" s="418" t="n"/>
      <c r="E3" s="418" t="n"/>
      <c r="F3" s="418" t="n"/>
      <c r="G3" s="418" t="n"/>
      <c r="H3" s="418" t="n"/>
      <c r="I3" s="404">
        <f>SUM(E3:H3)</f>
        <v/>
      </c>
      <c r="J3" s="404" t="n"/>
      <c r="K3" s="404" t="n"/>
      <c r="L3" s="418" t="n"/>
      <c r="M3" s="305">
        <f>HYPERLINK("https://www.youtube.com/watch?v=xVMe4JSEQo0&amp;index=14&amp;list=PLPt2dINI2MIb4OXlJ_EEwIDV9WVUpRQ5K","Graph Theory - SCC (2 vid)")</f>
        <v/>
      </c>
    </row>
    <row r="4" ht="15.75" customHeight="1" s="279">
      <c r="A4" s="432" t="inlineStr">
        <is>
          <t>The Bottom of a Graph</t>
        </is>
      </c>
      <c r="B4" s="491">
        <f>HYPERLINK("http://www.spoj.com/problems/BOTTOM/","SPOJ BOTTOM")</f>
        <v/>
      </c>
      <c r="C4" s="418" t="n"/>
      <c r="D4" s="418" t="n"/>
      <c r="E4" s="418" t="n"/>
      <c r="F4" s="418" t="n"/>
      <c r="G4" s="418" t="n"/>
      <c r="H4" s="418" t="n"/>
      <c r="I4" s="404">
        <f>SUM(E4:H4)</f>
        <v/>
      </c>
      <c r="J4" s="404" t="n"/>
      <c r="K4" s="404" t="n"/>
      <c r="L4" s="295" t="n"/>
      <c r="M4" s="327">
        <f>HYPERLINK("https://github.com/BRAINOOOO/CompetitiveProgramming/blob/master/Spoj/SPOJ%20BOTTOM.Cpp","Sol")</f>
        <v/>
      </c>
    </row>
    <row r="5" ht="15.75" customHeight="1" s="279">
      <c r="A5" s="432" t="inlineStr">
        <is>
          <t>Test</t>
        </is>
      </c>
      <c r="B5" s="462">
        <f>HYPERLINK("https://uva.onlinejudge.org/index.php?option=onlinejudge&amp;page=show_problem&amp;problem=1672","UVA 10731")</f>
        <v/>
      </c>
      <c r="C5" s="418" t="n"/>
      <c r="D5" s="418" t="n"/>
      <c r="E5" s="418" t="n"/>
      <c r="F5" s="418" t="n"/>
      <c r="G5" s="418" t="n"/>
      <c r="H5" s="418" t="n"/>
      <c r="I5" s="404">
        <f>SUM(E5:H5)</f>
        <v/>
      </c>
      <c r="J5" s="295" t="n"/>
      <c r="K5" s="295" t="n"/>
      <c r="L5" s="295" t="n"/>
      <c r="M5" s="327">
        <f>HYPERLINK("https://github.com/goar5670/CompetitiveProgramming/blob/master/UVA%2010731.cpp","Sol")</f>
        <v/>
      </c>
    </row>
    <row r="6" ht="15.75" customHeight="1" s="279">
      <c r="A6" s="432" t="n"/>
      <c r="B6" s="432" t="inlineStr">
        <is>
          <t>SRM312-D1-500</t>
        </is>
      </c>
      <c r="C6" s="418" t="n"/>
      <c r="D6" s="418" t="n"/>
      <c r="E6" s="418" t="n"/>
      <c r="F6" s="418" t="n"/>
      <c r="G6" s="418" t="n"/>
      <c r="H6" s="418" t="n"/>
      <c r="I6" s="404">
        <f>SUM(E6:H6)</f>
        <v/>
      </c>
      <c r="J6" s="295" t="n"/>
      <c r="K6" s="295" t="n"/>
      <c r="L6" s="295" t="n"/>
    </row>
    <row r="7" ht="15.75" customHeight="1" s="279">
      <c r="A7" s="432" t="n"/>
      <c r="B7" s="316">
        <f>HYPERLINK("http://codeforces.com/contest/467/problem/D","CF467-D2-D")</f>
        <v/>
      </c>
      <c r="C7" s="418" t="n"/>
      <c r="D7" s="418" t="n"/>
      <c r="E7" s="418" t="n"/>
      <c r="F7" s="418" t="n"/>
      <c r="G7" s="418" t="n"/>
      <c r="H7" s="418" t="n"/>
      <c r="I7" s="404">
        <f>SUM(E7:H7)</f>
        <v/>
      </c>
      <c r="J7" s="295" t="n"/>
      <c r="K7" s="295" t="n"/>
      <c r="L7" s="295" t="n"/>
    </row>
    <row r="8" ht="15.75" customHeight="1" s="279">
      <c r="A8" s="437" t="inlineStr">
        <is>
          <t>Theseus and labyrinth</t>
        </is>
      </c>
      <c r="B8" s="438">
        <f>HYPERLINK("http://codeforces.com/contest/676/problem/D","CF676-D2-D")</f>
        <v/>
      </c>
      <c r="C8" s="418" t="n"/>
      <c r="D8" s="418" t="n"/>
      <c r="E8" s="418" t="n"/>
      <c r="F8" s="418" t="n"/>
      <c r="G8" s="418" t="n"/>
      <c r="H8" s="418" t="n"/>
      <c r="I8" s="404">
        <f>SUM(E8:H8)</f>
        <v/>
      </c>
      <c r="J8" s="295" t="n"/>
      <c r="K8" s="295" t="n"/>
      <c r="L8" s="295" t="n"/>
    </row>
    <row r="9" ht="15.75" customHeight="1" s="279">
      <c r="A9" s="437" t="inlineStr">
        <is>
          <t>Cunning Gena</t>
        </is>
      </c>
      <c r="B9" s="500">
        <f>HYPERLINK("http://codeforces.com/contest/418/problem/B","CF418-D1-B")</f>
        <v/>
      </c>
      <c r="C9" s="418" t="n"/>
      <c r="D9" s="418" t="n"/>
      <c r="E9" s="418" t="n"/>
      <c r="F9" s="418" t="n"/>
      <c r="G9" s="418" t="n"/>
      <c r="H9" s="418" t="n"/>
      <c r="I9" s="404">
        <f>SUM(E9:H9)</f>
        <v/>
      </c>
      <c r="J9" s="404" t="n"/>
      <c r="K9" s="404" t="n"/>
      <c r="L9" s="295" t="n"/>
    </row>
    <row r="10" ht="15.75" customHeight="1" s="279">
      <c r="A10" s="437" t="inlineStr">
        <is>
          <t>Sabotage</t>
        </is>
      </c>
      <c r="B10" s="500">
        <f>HYPERLINK("https://uva.onlinejudge.org/index.php?option=onlinejudge&amp;page=show_problem&amp;problem=1421","UVA 10480")</f>
        <v/>
      </c>
      <c r="C10" s="418" t="n"/>
      <c r="D10" s="418" t="n"/>
      <c r="E10" s="418" t="n"/>
      <c r="F10" s="418" t="n"/>
      <c r="G10" s="418" t="n"/>
      <c r="H10" s="418" t="n"/>
      <c r="I10" s="404">
        <f>SUM(E10:H10)</f>
        <v/>
      </c>
      <c r="J10" s="404" t="n"/>
      <c r="K10" s="404" t="n"/>
      <c r="L10" s="295" t="n"/>
      <c r="M10" s="327">
        <f>HYPERLINK("https://github.com/abdullaAshraf/Problem-Solving/blob/master/UVA/10480.cpp","Sol")</f>
        <v/>
      </c>
    </row>
    <row r="11" ht="15.75" customHeight="1" s="279">
      <c r="A11" s="437" t="n"/>
      <c r="B11" s="437" t="inlineStr">
        <is>
          <t>SRM352-D2-1000</t>
        </is>
      </c>
      <c r="C11" s="418" t="n"/>
      <c r="D11" s="418" t="n"/>
      <c r="E11" s="418" t="n"/>
      <c r="F11" s="418" t="n"/>
      <c r="G11" s="418" t="n"/>
      <c r="H11" s="418" t="n"/>
      <c r="I11" s="404">
        <f>SUM(E11:H11)</f>
        <v/>
      </c>
      <c r="J11" s="404" t="n"/>
      <c r="K11" s="404" t="n"/>
      <c r="L11" s="295" t="n"/>
    </row>
    <row r="12" ht="15.75" customHeight="1" s="279">
      <c r="A12" s="437" t="inlineStr">
        <is>
          <t>Garland</t>
        </is>
      </c>
      <c r="B12" s="317">
        <f>HYPERLINK("https://uva.onlinejudge.org/index.php?option=onlinejudge&amp;page=show_problem&amp;problem=4330","UVA 1555")</f>
        <v/>
      </c>
      <c r="C12" s="418" t="n"/>
      <c r="D12" s="418" t="n"/>
      <c r="E12" s="418" t="n"/>
      <c r="F12" s="418" t="n"/>
      <c r="G12" s="418" t="n"/>
      <c r="H12" s="418" t="n"/>
      <c r="I12" s="404">
        <f>SUM(E12:H12)</f>
        <v/>
      </c>
      <c r="J12" s="295" t="n"/>
      <c r="K12" s="295" t="n"/>
      <c r="L12" s="295" t="n"/>
      <c r="M12" s="327">
        <f>HYPERLINK("https://github.com/achrafmam2/CompetitiveProgramming/blob/master/UVA/1555.cc","Sol")</f>
        <v/>
      </c>
    </row>
    <row r="13" ht="15.75" customHeight="1" s="279">
      <c r="A13" s="437" t="n"/>
      <c r="B13" s="438">
        <f>HYPERLINK("http://codeforces.com/gym/101589/problem/F","CF101589-GYM-F")</f>
        <v/>
      </c>
      <c r="C13" s="418" t="n"/>
      <c r="D13" s="418" t="n"/>
      <c r="E13" s="418" t="n"/>
      <c r="F13" s="418" t="n"/>
      <c r="G13" s="418" t="n"/>
      <c r="H13" s="418" t="n"/>
      <c r="I13" s="404">
        <f>SUM(E13:H13)</f>
        <v/>
      </c>
      <c r="J13" s="295" t="n"/>
      <c r="K13" s="295" t="n"/>
      <c r="L13" s="295" t="n"/>
      <c r="M13" s="327">
        <f>HYPERLINK("https://github.com/SpeedOfMagic/CompetitiveProgramming/blob/master/CodeforcesGym/CF101589-GYM-F.cpp","Sol")</f>
        <v/>
      </c>
    </row>
    <row r="14" ht="15.75" customHeight="1" s="279">
      <c r="A14" s="437" t="n"/>
      <c r="B14" s="438">
        <f>HYPERLINK("http://codeforces.com/problemset/problem/1016/D","CF1016-D12-D")</f>
        <v/>
      </c>
      <c r="C14" s="418" t="n"/>
      <c r="D14" s="418" t="n"/>
      <c r="E14" s="418" t="n"/>
      <c r="F14" s="418" t="n"/>
      <c r="G14" s="418" t="n"/>
      <c r="H14" s="418" t="n"/>
      <c r="I14" s="404">
        <f>SUM(E14:H14)</f>
        <v/>
      </c>
      <c r="J14" s="295" t="n"/>
      <c r="K14" s="295" t="n"/>
      <c r="L14" s="295" t="n"/>
    </row>
    <row r="15" ht="15.75" customHeight="1" s="279">
      <c r="A15" s="437" t="n"/>
      <c r="B15" s="438">
        <f>HYPERLINK("http://codeforces.com/contest/26/problem/D","CF26-D12-D")</f>
        <v/>
      </c>
      <c r="C15" s="418" t="n"/>
      <c r="D15" s="418" t="n"/>
      <c r="E15" s="418" t="n"/>
      <c r="F15" s="418" t="n"/>
      <c r="G15" s="418" t="n"/>
      <c r="H15" s="418" t="n"/>
      <c r="I15" s="404">
        <f>SUM(E15:H15)</f>
        <v/>
      </c>
      <c r="J15" s="295" t="n"/>
      <c r="K15" s="295" t="n"/>
      <c r="L15" s="295" t="n"/>
      <c r="M15" s="327">
        <f>HYPERLINK("https://github.com/mostafa-saad/MyCompetitiveProgramming/blob/master/Codeforces/CF26-D12-D.txt","Sol - must read")</f>
        <v/>
      </c>
    </row>
    <row r="16" ht="15.75" customHeight="1" s="279">
      <c r="A16" s="437" t="n"/>
      <c r="B16" s="438">
        <f>HYPERLINK("http://codeforces.com/contest/1012/problem/B","CF1012-D1-B")</f>
        <v/>
      </c>
      <c r="C16" s="418" t="n"/>
      <c r="D16" s="418" t="n"/>
      <c r="E16" s="418" t="n"/>
      <c r="F16" s="418" t="n"/>
      <c r="G16" s="418" t="n"/>
      <c r="H16" s="418" t="n"/>
      <c r="I16" s="404">
        <f>SUM(E16:H16)</f>
        <v/>
      </c>
      <c r="J16" s="295" t="n"/>
      <c r="K16" s="295" t="n"/>
      <c r="L16" s="295" t="n"/>
    </row>
    <row r="17" ht="15.75" customHeight="1" s="279">
      <c r="A17" s="437" t="n"/>
      <c r="B17" s="438">
        <f>HYPERLINK("http://codeforces.com/contest/1010/problem/C","CF1010-D1-C")</f>
        <v/>
      </c>
      <c r="C17" s="418" t="n"/>
      <c r="D17" s="418" t="n"/>
      <c r="E17" s="418" t="n"/>
      <c r="F17" s="418" t="n"/>
      <c r="G17" s="418" t="n"/>
      <c r="H17" s="418" t="n"/>
      <c r="I17" s="404">
        <f>SUM(E17:H17)</f>
        <v/>
      </c>
      <c r="J17" s="295" t="n"/>
      <c r="K17" s="295" t="n"/>
      <c r="L17" s="295" t="n"/>
    </row>
    <row r="18" ht="15.75" customHeight="1" s="279">
      <c r="A18" s="437" t="n"/>
      <c r="B18" s="438">
        <f>HYPERLINK("http://codeforces.com/contest/633/problem/D","CF633-D12-D")</f>
        <v/>
      </c>
      <c r="C18" s="418" t="n"/>
      <c r="D18" s="418" t="n"/>
      <c r="E18" s="418" t="n"/>
      <c r="F18" s="418" t="n"/>
      <c r="G18" s="418" t="n"/>
      <c r="H18" s="418" t="n"/>
      <c r="I18" s="404">
        <f>SUM(E18:H18)</f>
        <v/>
      </c>
      <c r="J18" s="295" t="n"/>
      <c r="K18" s="295" t="n"/>
      <c r="L18" s="295" t="n"/>
    </row>
    <row r="19" ht="15.75" customHeight="1" s="279">
      <c r="A19" s="437" t="n"/>
      <c r="B19" s="438">
        <f>HYPERLINK("https://www.hackerrank.com/challenges/house-location","HACKR house-location")</f>
        <v/>
      </c>
      <c r="C19" s="418" t="n"/>
      <c r="D19" s="418" t="n"/>
      <c r="E19" s="418" t="n"/>
      <c r="F19" s="418" t="n"/>
      <c r="G19" s="418" t="n"/>
      <c r="H19" s="418" t="n"/>
      <c r="I19" s="404">
        <f>SUM(E19:H19)</f>
        <v/>
      </c>
      <c r="J19" s="295" t="n"/>
      <c r="K19" s="295" t="n"/>
      <c r="L19" s="295" t="n"/>
      <c r="M19" s="327">
        <f>HYPERLINK("https://github.com/arvindr9/CompetitiveProgramming/blob/master/Hackerrank/HACKR%20house-location.cpp","Sol")</f>
        <v/>
      </c>
    </row>
    <row r="20" ht="15.75" customHeight="1" s="279">
      <c r="A20" s="437" t="n"/>
      <c r="B20" s="438">
        <f>HYPERLINK("http://codeforces.com/contest/621/problem/D","CF621-D2-D")</f>
        <v/>
      </c>
      <c r="C20" s="418" t="n"/>
      <c r="D20" s="418" t="n"/>
      <c r="E20" s="418" t="n"/>
      <c r="F20" s="418" t="n"/>
      <c r="G20" s="418" t="n"/>
      <c r="H20" s="418" t="n"/>
      <c r="I20" s="404">
        <f>SUM(E20:H20)</f>
        <v/>
      </c>
      <c r="J20" s="295" t="n"/>
      <c r="K20" s="295" t="n"/>
      <c r="L20" s="295" t="n"/>
      <c r="M20" s="327">
        <f>HYPERLINK("https://github.com/MedoN11/CompetitiveProgramming/blob/master/CodeForces/CF621-D2-D-Complex.cpp","Sol")</f>
        <v/>
      </c>
    </row>
    <row r="21" ht="15.75" customHeight="1" s="279">
      <c r="A21" s="437" t="n"/>
      <c r="B21" s="438">
        <f>HYPERLINK("https://codeforces.com/gym/101992/problem/D","CF101992-GYM-D")</f>
        <v/>
      </c>
      <c r="C21" s="418" t="n"/>
      <c r="D21" s="418" t="n"/>
      <c r="E21" s="418" t="n"/>
      <c r="F21" s="418" t="n"/>
      <c r="G21" s="418" t="n"/>
      <c r="H21" s="418" t="n"/>
      <c r="I21" s="404">
        <f>SUM(E21:H21)</f>
        <v/>
      </c>
      <c r="J21" s="295" t="n"/>
      <c r="K21" s="295" t="n"/>
      <c r="L21" s="295" t="n"/>
      <c r="M21" s="327">
        <f>HYPERLINK("https://ideone.com/bDMQGD","Sol")</f>
        <v/>
      </c>
    </row>
    <row r="22" ht="15.75" customHeight="1" s="279">
      <c r="A22" s="437" t="n"/>
      <c r="B22" s="437" t="inlineStr">
        <is>
          <t>SRM608-D2-1000</t>
        </is>
      </c>
      <c r="C22" s="418" t="n"/>
      <c r="D22" s="418" t="n"/>
      <c r="E22" s="418" t="n"/>
      <c r="F22" s="418" t="n"/>
      <c r="G22" s="418" t="n"/>
      <c r="H22" s="418" t="n"/>
      <c r="I22" s="404">
        <f>SUM(E22:H22)</f>
        <v/>
      </c>
      <c r="J22" s="295" t="n"/>
      <c r="K22" s="295" t="n"/>
      <c r="L22" s="295" t="n"/>
      <c r="M22" s="327">
        <f>HYPERLINK("https://github.com/mostafa-saad/MyCompetitiveProgramming/blob/master/TopCoder/SRM608-D2-1000.txt","Sol")</f>
        <v/>
      </c>
    </row>
    <row r="23" ht="15.75" customHeight="1" s="279">
      <c r="A23" s="304" t="n"/>
      <c r="C23" s="418" t="n"/>
      <c r="D23" s="418" t="n"/>
      <c r="E23" s="418" t="n"/>
      <c r="F23" s="418" t="n"/>
      <c r="G23" s="418" t="n"/>
      <c r="H23" s="418" t="n"/>
      <c r="I23" s="404">
        <f>SUM(E23:H23)</f>
        <v/>
      </c>
      <c r="J23" s="404" t="n"/>
      <c r="K23" s="404" t="n"/>
      <c r="L23" s="295" t="n"/>
    </row>
    <row r="24" ht="15.75" customHeight="1" s="279">
      <c r="A24" s="304" t="inlineStr">
        <is>
          <t>Gifts by the List</t>
        </is>
      </c>
      <c r="B24" s="421">
        <f>HYPERLINK("http://codeforces.com/contest/681/problem/D","CF681-D2-D")</f>
        <v/>
      </c>
      <c r="C24" s="418" t="n"/>
      <c r="D24" s="418" t="n"/>
      <c r="E24" s="418" t="n"/>
      <c r="F24" s="418" t="n"/>
      <c r="G24" s="418" t="n"/>
      <c r="H24" s="418" t="n"/>
      <c r="I24" s="404">
        <f>SUM(E24:H24)</f>
        <v/>
      </c>
      <c r="J24" s="404" t="n"/>
      <c r="K24" s="404" t="n"/>
      <c r="L24" s="295" t="n"/>
    </row>
    <row r="25" ht="15.75" customHeight="1" s="279">
      <c r="A25" s="304" t="inlineStr">
        <is>
          <t>DZY Loves Modification</t>
        </is>
      </c>
      <c r="B25" s="421">
        <f>HYPERLINK("http://codeforces.com/contest/447/problem/D","CF447-D2-D")</f>
        <v/>
      </c>
      <c r="C25" s="418" t="n"/>
      <c r="D25" s="418" t="n"/>
      <c r="E25" s="418" t="n"/>
      <c r="F25" s="418" t="n"/>
      <c r="G25" s="418" t="n"/>
      <c r="H25" s="418" t="n"/>
      <c r="I25" s="404">
        <f>SUM(E25:H25)</f>
        <v/>
      </c>
      <c r="J25" s="404" t="n"/>
      <c r="K25" s="404" t="n"/>
      <c r="M25" s="297" t="inlineStr">
        <is>
          <t>Prove</t>
        </is>
      </c>
    </row>
    <row r="26" ht="15.75" customHeight="1" s="279">
      <c r="A26" s="304" t="inlineStr">
        <is>
          <t>Mike and Feet</t>
        </is>
      </c>
      <c r="B26" s="421">
        <f>HYPERLINK("http://codeforces.com/contest/548/problem/D","CF548-D2-D")</f>
        <v/>
      </c>
      <c r="C26" s="418" t="n"/>
      <c r="D26" s="418" t="n"/>
      <c r="E26" s="418" t="n"/>
      <c r="F26" s="418" t="n"/>
      <c r="G26" s="418" t="n"/>
      <c r="H26" s="418" t="n"/>
      <c r="I26" s="404">
        <f>SUM(E26:H26)</f>
        <v/>
      </c>
      <c r="J26" s="404" t="n"/>
      <c r="K26" s="404" t="n"/>
    </row>
    <row r="27" ht="15.75" customHeight="1" s="279">
      <c r="A27" s="304" t="inlineStr">
        <is>
          <t>Special Grid</t>
        </is>
      </c>
      <c r="B27" s="421">
        <f>HYPERLINK("http://codeforces.com/contest/435/problem/D","CF435-D2-D")</f>
        <v/>
      </c>
      <c r="C27" s="418" t="n"/>
      <c r="D27" s="418" t="n"/>
      <c r="E27" s="418" t="n"/>
      <c r="F27" s="418" t="n"/>
      <c r="G27" s="418" t="n"/>
      <c r="H27" s="418" t="n"/>
      <c r="I27" s="404">
        <f>SUM(E27:H27)</f>
        <v/>
      </c>
      <c r="J27" s="404" t="n"/>
      <c r="K27" s="404" t="n"/>
    </row>
    <row r="28" ht="15.75" customHeight="1" s="279">
      <c r="A28" s="304" t="inlineStr">
        <is>
          <t>Roman and Numbers</t>
        </is>
      </c>
      <c r="B28" s="421">
        <f>HYPERLINK("http://codeforces.com/contest/401/problem/D","CF401-D2-D")</f>
        <v/>
      </c>
      <c r="C28" s="418" t="n"/>
      <c r="D28" s="418" t="n"/>
      <c r="E28" s="418" t="n"/>
      <c r="F28" s="418" t="n"/>
      <c r="G28" s="418" t="n"/>
      <c r="H28" s="418" t="n"/>
      <c r="I28" s="404">
        <f>SUM(E28:H28)</f>
        <v/>
      </c>
      <c r="J28" s="404" t="n"/>
      <c r="K28" s="404" t="n"/>
    </row>
    <row r="29" ht="15.75" customHeight="1" s="279">
      <c r="A29" s="304" t="inlineStr">
        <is>
          <t>Persistent Bookcase</t>
        </is>
      </c>
      <c r="B29" s="421">
        <f>HYPERLINK("http://codeforces.com/contest/707/problem/D","CF707-D2-D")</f>
        <v/>
      </c>
      <c r="C29" s="418" t="n"/>
      <c r="D29" s="418" t="n"/>
      <c r="E29" s="418" t="n"/>
      <c r="F29" s="418" t="n"/>
      <c r="G29" s="418" t="n"/>
      <c r="H29" s="418" t="n"/>
      <c r="I29" s="404">
        <f>SUM(E29:H29)</f>
        <v/>
      </c>
      <c r="J29" s="404" t="n"/>
      <c r="K29" s="404" t="n"/>
      <c r="M29" s="327">
        <f>HYPERLINK("https://github.com/AbdelrahmanRamadan/competitive-programming/blob/master/Codeforces/CF707-D2-D.cpp","Sol")</f>
        <v/>
      </c>
    </row>
    <row r="30" ht="15.75" customHeight="1" s="279">
      <c r="A30" s="295" t="inlineStr">
        <is>
          <t>Regular Bridge</t>
        </is>
      </c>
      <c r="B30" s="417">
        <f>HYPERLINK("http://codeforces.com/contest/550/problem/D","CF550-D2-D")</f>
        <v/>
      </c>
      <c r="C30" s="418" t="n"/>
      <c r="D30" s="418" t="n"/>
      <c r="E30" s="418" t="n"/>
      <c r="F30" s="418" t="n"/>
      <c r="G30" s="418" t="n"/>
      <c r="H30" s="418" t="n"/>
      <c r="I30" s="404">
        <f>SUM(E30:H30)</f>
        <v/>
      </c>
      <c r="J30" s="295" t="n"/>
      <c r="K30" s="295" t="n"/>
      <c r="M30" s="295" t="n"/>
    </row>
    <row r="31" ht="15.75" customHeight="1" s="279">
      <c r="A31" s="295" t="n"/>
      <c r="B31" s="417">
        <f>HYPERLINK("https://codeforces.com/contest/1059/problem/D","CF1059-D2-D")</f>
        <v/>
      </c>
      <c r="C31" s="418" t="n"/>
      <c r="D31" s="418" t="n"/>
      <c r="E31" s="418" t="n"/>
      <c r="F31" s="418" t="n"/>
      <c r="G31" s="418" t="n"/>
      <c r="H31" s="418" t="n"/>
      <c r="I31" s="404">
        <f>SUM(E31:H31)</f>
        <v/>
      </c>
      <c r="J31" s="295" t="n"/>
      <c r="K31" s="295" t="n"/>
      <c r="M31" s="295" t="n"/>
    </row>
    <row r="32" ht="15.75" customHeight="1" s="279">
      <c r="A32" s="482" t="inlineStr">
        <is>
          <t>Almost Arithmetical Progression</t>
        </is>
      </c>
      <c r="B32" s="318">
        <f>HYPERLINK("http://codeforces.com/contest/255/problem/C","CF255-D2-C")</f>
        <v/>
      </c>
      <c r="C32" s="418" t="n"/>
      <c r="D32" s="418" t="n"/>
      <c r="E32" s="418" t="n"/>
      <c r="F32" s="418" t="n"/>
      <c r="G32" s="418" t="n"/>
      <c r="H32" s="418" t="n"/>
      <c r="I32" s="404">
        <f>SUM(E32:H32)</f>
        <v/>
      </c>
      <c r="J32" s="295" t="n"/>
      <c r="K32" s="295" t="n"/>
      <c r="M32" s="295" t="n"/>
    </row>
    <row r="33" ht="15.75" customHeight="1" s="279">
      <c r="A33" s="482" t="inlineStr">
        <is>
          <t>Title</t>
        </is>
      </c>
      <c r="B33" s="318">
        <f>HYPERLINK("http://codeforces.com/contest/59/problem/C","CF59-D2-C")</f>
        <v/>
      </c>
      <c r="C33" s="418" t="n"/>
      <c r="D33" s="418" t="n"/>
      <c r="E33" s="418" t="n"/>
      <c r="F33" s="418" t="n"/>
      <c r="G33" s="418" t="n"/>
      <c r="H33" s="418" t="n"/>
      <c r="I33" s="404">
        <f>SUM(E33:H33)</f>
        <v/>
      </c>
      <c r="J33" s="295" t="n"/>
      <c r="K33" s="295" t="n"/>
      <c r="M33" s="295" t="n"/>
    </row>
    <row r="34" ht="15.75" customHeight="1" s="279">
      <c r="A34" s="482" t="inlineStr">
        <is>
          <t>Treasure</t>
        </is>
      </c>
      <c r="B34" s="318">
        <f>HYPERLINK("http://codeforces.com/contest/495/problem/C","CF495-D2-C")</f>
        <v/>
      </c>
      <c r="C34" s="418" t="n"/>
      <c r="D34" s="418" t="n"/>
      <c r="E34" s="418" t="n"/>
      <c r="F34" s="418" t="n"/>
      <c r="G34" s="418" t="n"/>
      <c r="H34" s="418" t="n"/>
      <c r="I34" s="404">
        <f>SUM(E34:H34)</f>
        <v/>
      </c>
      <c r="J34" s="295" t="n"/>
      <c r="K34" s="295" t="n"/>
      <c r="M34" s="295" t="n"/>
    </row>
    <row r="35" ht="15.75" customHeight="1" s="279">
      <c r="A35" s="304" t="n"/>
      <c r="C35" s="418" t="n"/>
      <c r="D35" s="418" t="n"/>
      <c r="E35" s="418" t="n"/>
      <c r="F35" s="418" t="n"/>
      <c r="G35" s="418" t="n"/>
      <c r="H35" s="418" t="n"/>
      <c r="I35" s="404">
        <f>SUM(E35:H35)</f>
        <v/>
      </c>
      <c r="J35" s="404" t="n"/>
      <c r="K35" s="404" t="n"/>
      <c r="M35" s="295" t="n"/>
    </row>
    <row r="36" ht="15.75" customHeight="1" s="279">
      <c r="A36" s="496" t="inlineStr">
        <is>
          <t>Unique Attack</t>
        </is>
      </c>
      <c r="B36" s="500">
        <f>HYPERLINK("http://acm.zju.edu.cn/onlinejudge/showProblem.do?problemCode=2587","ZOJ 2587")</f>
        <v/>
      </c>
      <c r="C36" s="418" t="n"/>
      <c r="D36" s="418" t="n"/>
      <c r="E36" s="418" t="n"/>
      <c r="F36" s="418" t="n"/>
      <c r="G36" s="418" t="n"/>
      <c r="H36" s="418" t="n"/>
      <c r="I36" s="404">
        <f>SUM(E36:H36)</f>
        <v/>
      </c>
      <c r="J36" s="404" t="n"/>
      <c r="K36" s="404" t="n"/>
      <c r="M36" s="295" t="n"/>
    </row>
    <row r="37" ht="15.75" customHeight="1" s="279">
      <c r="A37" s="496" t="inlineStr">
        <is>
          <t>End of Fun</t>
        </is>
      </c>
      <c r="B37" s="500">
        <f>HYPERLINK("http://www.spoj.com/problems/DCEPC12E","SPOJ DCEPC12E")</f>
        <v/>
      </c>
      <c r="C37" s="418" t="n"/>
      <c r="D37" s="418" t="n"/>
      <c r="E37" s="418" t="n"/>
      <c r="F37" s="418" t="n"/>
      <c r="G37" s="418" t="n"/>
      <c r="H37" s="418" t="n"/>
      <c r="I37" s="404">
        <f>SUM(E37:H37)</f>
        <v/>
      </c>
      <c r="J37" s="404" t="n"/>
      <c r="K37" s="404" t="n"/>
      <c r="M37" s="295" t="n"/>
    </row>
    <row r="38" ht="15.75" customHeight="1" s="279">
      <c r="A38" s="496" t="inlineStr">
        <is>
          <t>Grammar Evaluation</t>
        </is>
      </c>
      <c r="B38" s="500">
        <f>HYPERLINK("https://uva.onlinejudge.org/index.php?option=onlinejudge&amp;page=show_problem&amp;problem=563","UVA 622")</f>
        <v/>
      </c>
      <c r="C38" s="418" t="n"/>
      <c r="D38" s="418" t="n"/>
      <c r="E38" s="418" t="n"/>
      <c r="F38" s="418" t="n"/>
      <c r="G38" s="418" t="n"/>
      <c r="H38" s="418" t="n"/>
      <c r="I38" s="404">
        <f>SUM(E38:H38)</f>
        <v/>
      </c>
      <c r="J38" s="404" t="n"/>
      <c r="K38" s="404" t="n"/>
      <c r="M38" s="327">
        <f>HYPERLINK("https://github.com/mostafa-saad/MyCompetitiveProgramming/blob/master/UVA/622.cpp","Sol")</f>
        <v/>
      </c>
    </row>
    <row r="39" ht="15.75" customHeight="1" s="279">
      <c r="A39" s="496" t="inlineStr">
        <is>
          <t>Find the Winning Move</t>
        </is>
      </c>
      <c r="B39" s="500">
        <f>HYPERLINK("https://uva.onlinejudge.org/index.php?option=com_onlinejudge&amp;Itemid=8&amp;page=show_problem&amp;problem=1052","UVA 10111")</f>
        <v/>
      </c>
      <c r="C39" s="418" t="n"/>
      <c r="D39" s="418" t="n"/>
      <c r="E39" s="418" t="n"/>
      <c r="F39" s="418" t="n"/>
      <c r="G39" s="418" t="n"/>
      <c r="H39" s="418" t="n"/>
      <c r="I39" s="404">
        <f>SUM(E39:H39)</f>
        <v/>
      </c>
      <c r="J39" s="404" t="n"/>
      <c r="K39" s="404" t="n"/>
      <c r="M39" s="327">
        <f>HYPERLINK("https://github.com/mostafa-saad/MyCompetitiveProgramming/blob/master/UVA/UVA_10111.txt","Sol")</f>
        <v/>
      </c>
    </row>
    <row r="40" ht="15.75" customHeight="1" s="279">
      <c r="A40" s="496" t="inlineStr">
        <is>
          <t>Check the difficulty of problems</t>
        </is>
      </c>
      <c r="B40" s="497">
        <f>HYPERLINK("http://poj.org/problem?id=2151","PKU 2151")</f>
        <v/>
      </c>
      <c r="C40" s="418" t="n"/>
      <c r="D40" s="418" t="n"/>
      <c r="E40" s="418" t="n"/>
      <c r="F40" s="418" t="n"/>
      <c r="G40" s="418" t="n"/>
      <c r="H40" s="418" t="n"/>
      <c r="I40" s="404">
        <f>SUM(E40:H40)</f>
        <v/>
      </c>
      <c r="J40" s="295" t="n"/>
      <c r="K40" s="295" t="n"/>
      <c r="M40" s="327">
        <f>HYPERLINK("https://github.com/mostafa-saad/MyCompetitiveProgramming/blob/master/PKU/PKU_2151.txt","Sol")</f>
        <v/>
      </c>
    </row>
    <row r="41" ht="15.75" customHeight="1" s="279">
      <c r="A41" s="496" t="inlineStr">
        <is>
          <t>Proving Equivalences</t>
        </is>
      </c>
      <c r="B41" s="500">
        <f>HYPERLINK("https://uva.onlinejudge.org/index.php?option=com_onlinejudge&amp;Itemid=8&amp;page=show_problem&amp;problem=3319","UVA 12167")</f>
        <v/>
      </c>
      <c r="C41" s="418" t="n"/>
      <c r="D41" s="418" t="n"/>
      <c r="E41" s="418" t="n"/>
      <c r="F41" s="418" t="n"/>
      <c r="G41" s="418" t="n"/>
      <c r="H41" s="418" t="n"/>
      <c r="I41" s="404">
        <f>SUM(E41:H41)</f>
        <v/>
      </c>
      <c r="J41" s="404" t="n"/>
      <c r="K41" s="404" t="n"/>
      <c r="M41" s="327">
        <f>HYPERLINK("https://github.com/abdullaAshraf/Problem-Solving/blob/master/UVA/12167.cpp","Sol")</f>
        <v/>
      </c>
    </row>
    <row r="42" ht="15.75" customHeight="1" s="279">
      <c r="A42" s="496" t="inlineStr">
        <is>
          <t>DDF</t>
        </is>
      </c>
      <c r="B42" s="500">
        <f>HYPERLINK("https://uva.onlinejudge.org/index.php?option=onlinejudge&amp;page=show_problem&amp;problem=488","UVA 547")</f>
        <v/>
      </c>
      <c r="C42" s="418" t="n"/>
      <c r="D42" s="418" t="n"/>
      <c r="E42" s="418" t="n"/>
      <c r="F42" s="418" t="n"/>
      <c r="G42" s="418" t="n"/>
      <c r="H42" s="418" t="n"/>
      <c r="I42" s="404">
        <f>SUM(E42:H42)</f>
        <v/>
      </c>
      <c r="J42" s="404" t="n"/>
      <c r="K42" s="404" t="n"/>
    </row>
    <row r="43" ht="15.75" customHeight="1" s="279">
      <c r="A43" s="496" t="inlineStr">
        <is>
          <t>Dominos</t>
        </is>
      </c>
      <c r="B43" s="497">
        <f>HYPERLINK("https://uva.onlinejudge.org/index.php?option=onlinejudge&amp;page=show_problem&amp;problem=2499","UVA 11504")</f>
        <v/>
      </c>
      <c r="C43" s="418" t="n"/>
      <c r="D43" s="418" t="n"/>
      <c r="E43" s="418" t="n"/>
      <c r="F43" s="418" t="n"/>
      <c r="G43" s="418" t="n"/>
      <c r="H43" s="418" t="n"/>
      <c r="I43" s="404">
        <f>SUM(E43:H43)</f>
        <v/>
      </c>
      <c r="J43" s="295" t="n"/>
      <c r="K43" s="295" t="n"/>
      <c r="M43" s="327">
        <f>HYPERLINK("https://github.com/mostafa-saad/MyCompetitiveProgramming/blob/master/UVA/UVA_11504.txt","Sol")</f>
        <v/>
      </c>
    </row>
    <row r="44" ht="15.75" customHeight="1" s="279">
      <c r="A44" s="496" t="n"/>
      <c r="B44" s="496" t="inlineStr">
        <is>
          <t>SRM419-D2-1000</t>
        </is>
      </c>
      <c r="C44" s="418" t="n"/>
      <c r="D44" s="418" t="n"/>
      <c r="E44" s="418" t="n"/>
      <c r="F44" s="418" t="n"/>
      <c r="G44" s="418" t="n"/>
      <c r="H44" s="418" t="n"/>
      <c r="I44" s="404">
        <f>SUM(E44:H44)</f>
        <v/>
      </c>
      <c r="J44" s="295" t="n"/>
      <c r="K44" s="295" t="n"/>
    </row>
    <row r="45" ht="15.75" customHeight="1" s="279">
      <c r="A45" s="496" t="inlineStr">
        <is>
          <t>Winning Streak</t>
        </is>
      </c>
      <c r="B45" s="497">
        <f>HYPERLINK("https://uva.onlinejudge.org/index.php?option=com_onlinejudge&amp;Itemid=8&amp;page=show_problem&amp;problem=2117","UVA 11176")</f>
        <v/>
      </c>
      <c r="C45" s="418" t="n"/>
      <c r="D45" s="418" t="n"/>
      <c r="E45" s="418" t="n"/>
      <c r="F45" s="418" t="n"/>
      <c r="G45" s="418" t="n"/>
      <c r="H45" s="418" t="n"/>
      <c r="I45" s="404">
        <f>SUM(E45:H45)</f>
        <v/>
      </c>
      <c r="J45" s="295" t="n"/>
      <c r="K45" s="295" t="n"/>
      <c r="M45" s="327">
        <f>HYPERLINK("https://github.com/VAMPIER000001/CompetitiveProgramming/blob/master/UVA/V-111/UVA%2011176.cpp","Sol")</f>
        <v/>
      </c>
    </row>
    <row r="46" ht="15.75" customHeight="1" s="279">
      <c r="A46" s="496" t="n"/>
      <c r="B46" s="496" t="inlineStr">
        <is>
          <t>SRM391-D2-1000</t>
        </is>
      </c>
      <c r="C46" s="418" t="n"/>
      <c r="D46" s="418" t="n"/>
      <c r="E46" s="418" t="n"/>
      <c r="F46" s="418" t="n"/>
      <c r="G46" s="418" t="n"/>
      <c r="H46" s="418" t="n"/>
      <c r="I46" s="404">
        <f>SUM(E46:H46)</f>
        <v/>
      </c>
      <c r="J46" s="295" t="n"/>
      <c r="K46" s="295" t="n"/>
    </row>
    <row r="47" ht="15.75" customHeight="1" s="279">
      <c r="A47" s="496" t="n"/>
      <c r="B47" s="496" t="inlineStr">
        <is>
          <t>SRM465-D1-500</t>
        </is>
      </c>
      <c r="C47" s="418" t="n"/>
      <c r="D47" s="418" t="n"/>
      <c r="E47" s="418" t="n"/>
      <c r="F47" s="418" t="n"/>
      <c r="G47" s="418" t="n"/>
      <c r="H47" s="418" t="n"/>
      <c r="I47" s="404">
        <f>SUM(E47:H47)</f>
        <v/>
      </c>
      <c r="J47" s="295" t="n"/>
      <c r="K47" s="295" t="n"/>
      <c r="M47" s="327">
        <f>HYPERLINK("https://github.com/yazanKabbany/CompetitiveProgramming/blob/master/Topcoder/SRM465-D1-500.cpp","Sol")</f>
        <v/>
      </c>
    </row>
    <row r="48" ht="15.75" customHeight="1" s="279">
      <c r="A48" s="496" t="n"/>
      <c r="B48" s="496" t="inlineStr">
        <is>
          <t>UVA 10740</t>
        </is>
      </c>
      <c r="C48" s="418" t="n"/>
      <c r="D48" s="418" t="n"/>
      <c r="E48" s="418" t="n"/>
      <c r="F48" s="418" t="n"/>
      <c r="G48" s="418" t="n"/>
      <c r="H48" s="418" t="n"/>
      <c r="I48" s="404">
        <f>SUM(E48:H48)</f>
        <v/>
      </c>
      <c r="J48" s="295" t="n"/>
      <c r="K48" s="295" t="n"/>
      <c r="M48" s="327">
        <f>HYPERLINK("https://github.com/mostafa-saad/MyCompetitiveProgramming/blob/master/UVA/UVA_10740.txt","Sol")</f>
        <v/>
      </c>
    </row>
    <row r="49" ht="15.75" customHeight="1" s="279">
      <c r="A49" s="496" t="n"/>
      <c r="B49" s="496" t="inlineStr">
        <is>
          <t>UVA 12261</t>
        </is>
      </c>
      <c r="C49" s="418" t="n"/>
      <c r="D49" s="418" t="n"/>
      <c r="E49" s="418" t="n"/>
      <c r="F49" s="418" t="n"/>
      <c r="G49" s="418" t="n"/>
      <c r="H49" s="418" t="n"/>
      <c r="I49" s="404">
        <f>SUM(E49:H49)</f>
        <v/>
      </c>
      <c r="J49" s="295" t="n"/>
      <c r="K49" s="295" t="n"/>
    </row>
    <row r="50" ht="15.75" customHeight="1" s="279">
      <c r="A50" s="496" t="n"/>
      <c r="B50" s="496" t="inlineStr">
        <is>
          <t>LIVEARCHIVE 4008</t>
        </is>
      </c>
      <c r="C50" s="418" t="n"/>
      <c r="D50" s="418" t="n"/>
      <c r="E50" s="418" t="n"/>
      <c r="F50" s="418" t="n"/>
      <c r="G50" s="418" t="n"/>
      <c r="H50" s="418" t="n"/>
      <c r="I50" s="404">
        <f>SUM(E50:H50)</f>
        <v/>
      </c>
      <c r="J50" s="295" t="n"/>
      <c r="K50" s="295" t="n"/>
    </row>
    <row r="51" ht="15.75" customHeight="1" s="279">
      <c r="A51" s="496" t="n"/>
      <c r="B51" s="496" t="inlineStr">
        <is>
          <t>UVA 1342</t>
        </is>
      </c>
      <c r="C51" s="418" t="n"/>
      <c r="D51" s="418" t="n"/>
      <c r="E51" s="418" t="n"/>
      <c r="F51" s="418" t="n"/>
      <c r="G51" s="418" t="n"/>
      <c r="H51" s="418" t="n"/>
      <c r="I51" s="404">
        <f>SUM(E51:H51)</f>
        <v/>
      </c>
      <c r="J51" s="295" t="n"/>
      <c r="K51" s="295" t="n"/>
      <c r="M51" s="327">
        <f>HYPERLINK("https://github.com/morris821028/UVa/blob/master/volume013/1342%20-%20That%20Nice%20Euler%20Circuit.cpp","Sol")</f>
        <v/>
      </c>
    </row>
    <row r="52" ht="15.75" customHeight="1" s="279">
      <c r="A52" s="496" t="n"/>
      <c r="B52" s="497">
        <f>HYPERLINK("http://codeforces.com/contest/811/problem/D","CF811-D2-D")</f>
        <v/>
      </c>
      <c r="C52" s="418" t="n"/>
      <c r="D52" s="418" t="n"/>
      <c r="E52" s="418" t="n"/>
      <c r="F52" s="418" t="n"/>
      <c r="G52" s="418" t="n"/>
      <c r="H52" s="418" t="n"/>
      <c r="I52" s="404">
        <f>SUM(E52:H52)</f>
        <v/>
      </c>
      <c r="J52" s="295" t="n"/>
      <c r="K52" s="295" t="n"/>
    </row>
    <row r="53" ht="15.75" customHeight="1" s="279">
      <c r="A53" s="496" t="n"/>
      <c r="B53" s="497">
        <f>HYPERLINK("https://beta.atcoder.jp/contests/agc026/tasks/agc026_b","AtCoder026-AGC-B")</f>
        <v/>
      </c>
      <c r="C53" s="418" t="n"/>
      <c r="D53" s="418" t="n"/>
      <c r="E53" s="418" t="n"/>
      <c r="F53" s="418" t="n"/>
      <c r="G53" s="418" t="n"/>
      <c r="H53" s="418" t="n"/>
      <c r="I53" s="404">
        <f>SUM(E53:H53)</f>
        <v/>
      </c>
      <c r="J53" s="295" t="n"/>
      <c r="K53" s="295" t="n"/>
      <c r="M53" s="327">
        <f>HYPERLINK("https://github.com/dasannagariraja/CompetitiveProgramming/blob/master/AtCoder/AtCoder026-AGC-B.cpp","Sol")</f>
        <v/>
      </c>
    </row>
    <row r="54" ht="15.75" customHeight="1" s="279">
      <c r="A54" s="496" t="n"/>
      <c r="B54" s="496" t="inlineStr">
        <is>
          <t>SPOJ FISHES</t>
        </is>
      </c>
      <c r="C54" s="418" t="n"/>
      <c r="D54" s="418" t="n"/>
      <c r="E54" s="418" t="n"/>
      <c r="F54" s="418" t="n"/>
      <c r="G54" s="418" t="n"/>
      <c r="H54" s="418" t="n"/>
      <c r="I54" s="404">
        <f>SUM(E54:H54)</f>
        <v/>
      </c>
      <c r="J54" s="404" t="n"/>
      <c r="K54" s="404" t="n"/>
      <c r="M54" s="419">
        <f>HYPERLINK("https://github.com/mostafa-saad/MyCompetitiveProgramming/blob/master/SPOJ/SPOJ_FISHES.txt","Sol")</f>
        <v/>
      </c>
    </row>
    <row r="55" ht="15.75" customHeight="1" s="279">
      <c r="A55" s="496" t="n"/>
      <c r="B55" s="496" t="inlineStr">
        <is>
          <t>UVA 11475</t>
        </is>
      </c>
      <c r="C55" s="418" t="n"/>
      <c r="D55" s="418" t="n"/>
      <c r="E55" s="418" t="n"/>
      <c r="F55" s="418" t="n"/>
      <c r="G55" s="418" t="n"/>
      <c r="H55" s="418" t="n"/>
      <c r="I55" s="404">
        <f>SUM(E55:H55)</f>
        <v/>
      </c>
      <c r="J55" s="404" t="n"/>
      <c r="K55" s="404" t="n"/>
      <c r="M55" s="419">
        <f>HYPERLINK("https://github.com/Huvok/CompetitiveProgramming/blob/master/UVA/11475.cpp", "Sol")</f>
        <v/>
      </c>
    </row>
    <row r="56" ht="15.75" customHeight="1" s="279">
      <c r="A56" s="304" t="n"/>
      <c r="B56" s="421" t="n"/>
      <c r="C56" s="418" t="n"/>
      <c r="D56" s="418" t="n"/>
      <c r="E56" s="418" t="n"/>
      <c r="F56" s="418" t="n"/>
      <c r="G56" s="418" t="n"/>
      <c r="H56" s="418" t="n"/>
      <c r="I56" s="404">
        <f>SUM(E56:H56)</f>
        <v/>
      </c>
      <c r="J56" s="404" t="n"/>
      <c r="K56" s="404" t="n"/>
      <c r="M56" s="295" t="n"/>
    </row>
    <row r="57" ht="15.75" customHeight="1" s="279">
      <c r="A57" s="304" t="inlineStr">
        <is>
          <t>Red-Green Towers</t>
        </is>
      </c>
      <c r="B57" s="421">
        <f>HYPERLINK("http://codeforces.com/contest/478/problem/D","CF478-D2-D")</f>
        <v/>
      </c>
      <c r="C57" s="418" t="n"/>
      <c r="D57" s="418" t="n"/>
      <c r="E57" s="418" t="n"/>
      <c r="F57" s="418" t="n"/>
      <c r="G57" s="418" t="n"/>
      <c r="H57" s="418" t="n"/>
      <c r="I57" s="404">
        <f>SUM(E57:H57)</f>
        <v/>
      </c>
      <c r="J57" s="404" t="n"/>
      <c r="K57" s="404" t="n"/>
      <c r="M57" s="295" t="n"/>
    </row>
    <row r="58" ht="15.75" customHeight="1" s="279">
      <c r="A58" s="304" t="inlineStr">
        <is>
          <t>Renting Bikes</t>
        </is>
      </c>
      <c r="B58" s="421">
        <f>HYPERLINK("http://codeforces.com/contest/363/problem/D","CF363-D2-D")</f>
        <v/>
      </c>
      <c r="C58" s="418" t="n"/>
      <c r="D58" s="418" t="n"/>
      <c r="E58" s="418" t="n"/>
      <c r="F58" s="418" t="n"/>
      <c r="G58" s="418" t="n"/>
      <c r="H58" s="418" t="n"/>
      <c r="I58" s="404">
        <f>SUM(E58:H58)</f>
        <v/>
      </c>
      <c r="J58" s="404" t="n"/>
      <c r="K58" s="404" t="n"/>
      <c r="M58" s="295" t="n"/>
    </row>
    <row r="59" ht="15.75" customHeight="1" s="279">
      <c r="A59" s="295" t="inlineStr">
        <is>
          <t>Lucky Number 2</t>
        </is>
      </c>
      <c r="B59" s="417">
        <f>HYPERLINK("http://codeforces.com/contest/146/problem/D","CF146-D2-D")</f>
        <v/>
      </c>
      <c r="C59" s="418" t="n"/>
      <c r="D59" s="418" t="n"/>
      <c r="E59" s="418" t="n"/>
      <c r="F59" s="418" t="n"/>
      <c r="G59" s="418" t="n"/>
      <c r="H59" s="418" t="n"/>
      <c r="I59" s="404">
        <f>SUM(E59:H59)</f>
        <v/>
      </c>
      <c r="J59" s="295" t="n"/>
      <c r="K59" s="295" t="n"/>
      <c r="M59" s="295" t="n"/>
    </row>
    <row r="60" ht="15.75" customHeight="1" s="279">
      <c r="A60" s="295" t="inlineStr">
        <is>
          <t>Tennis Game</t>
        </is>
      </c>
      <c r="B60" s="417">
        <f>HYPERLINK("http://codeforces.com/contest/496/problem/D","CF496-D2-D")</f>
        <v/>
      </c>
      <c r="C60" s="418" t="n"/>
      <c r="D60" s="418" t="n"/>
      <c r="E60" s="418" t="n"/>
      <c r="F60" s="418" t="n"/>
      <c r="G60" s="418" t="n"/>
      <c r="H60" s="418" t="n"/>
      <c r="I60" s="404">
        <f>SUM(E60:H60)</f>
        <v/>
      </c>
      <c r="J60" s="295" t="n"/>
      <c r="K60" s="295" t="n"/>
      <c r="M60" s="295" t="n"/>
    </row>
    <row r="61" ht="15.75" customHeight="1" s="279">
      <c r="A61" s="295" t="inlineStr">
        <is>
          <t>Bubble Sort Graph</t>
        </is>
      </c>
      <c r="B61" s="417">
        <f>HYPERLINK("http://codeforces.com/contest/340/problem/D","CF340-D2-D")</f>
        <v/>
      </c>
      <c r="C61" s="418" t="n"/>
      <c r="D61" s="418" t="n"/>
      <c r="E61" s="418" t="n"/>
      <c r="F61" s="418" t="n"/>
      <c r="G61" s="418" t="n"/>
      <c r="H61" s="418" t="n"/>
      <c r="I61" s="404">
        <f>SUM(E61:H61)</f>
        <v/>
      </c>
      <c r="J61" s="295" t="n"/>
      <c r="K61" s="295" t="n"/>
      <c r="M61" s="295" t="n"/>
    </row>
    <row r="62" ht="15.75" customHeight="1" s="279">
      <c r="A62" s="304" t="inlineStr">
        <is>
          <t>Upgrading Array</t>
        </is>
      </c>
      <c r="B62" s="421">
        <f>HYPERLINK("http://codeforces.com/contest/402/problem/D","CF402-D2-D")</f>
        <v/>
      </c>
      <c r="C62" s="418" t="n"/>
      <c r="D62" s="418" t="n"/>
      <c r="E62" s="418" t="n"/>
      <c r="F62" s="418" t="n"/>
      <c r="G62" s="418" t="n"/>
      <c r="H62" s="418" t="n"/>
      <c r="I62" s="404">
        <f>SUM(E62:H62)</f>
        <v/>
      </c>
      <c r="J62" s="404" t="n"/>
      <c r="K62" s="404" t="n"/>
      <c r="M62" s="295" t="n"/>
    </row>
    <row r="63" ht="15.75" customHeight="1" s="279">
      <c r="A63" s="304" t="n"/>
      <c r="B63" s="501" t="inlineStr">
        <is>
          <t>ZOJ 3305</t>
        </is>
      </c>
      <c r="C63" s="418" t="n"/>
      <c r="D63" s="418" t="n"/>
      <c r="E63" s="418" t="n"/>
      <c r="F63" s="418" t="n"/>
      <c r="G63" s="418" t="n"/>
      <c r="H63" s="418" t="n"/>
      <c r="I63" s="404">
        <f>SUM(E63:H63)</f>
        <v/>
      </c>
      <c r="J63" s="404" t="n"/>
      <c r="K63" s="404" t="n"/>
      <c r="M63" s="419">
        <f>HYPERLINK("https://github.com/magdy-hasan/competitive-programming/blob/master/Other/ZOJ%20Get%20Sauce.cpp","Sol")</f>
        <v/>
      </c>
    </row>
    <row r="64" ht="15.75" customHeight="1" s="279">
      <c r="A64" s="304" t="n"/>
      <c r="B64" s="421">
        <f>HYPERLINK("http://codeforces.com/problemset/problem/1017/D","CF1017-D12-D")</f>
        <v/>
      </c>
      <c r="C64" s="418" t="n"/>
      <c r="D64" s="418" t="n"/>
      <c r="E64" s="418" t="n"/>
      <c r="F64" s="418" t="n"/>
      <c r="G64" s="418" t="n"/>
      <c r="H64" s="418" t="n"/>
      <c r="I64" s="404">
        <f>SUM(E64:H64)</f>
        <v/>
      </c>
      <c r="J64" s="404" t="n"/>
      <c r="K64" s="404" t="n"/>
      <c r="M64" s="295" t="n"/>
    </row>
    <row r="65" ht="15.75" customHeight="1" s="279">
      <c r="A65" s="482" t="inlineStr">
        <is>
          <t>Game</t>
        </is>
      </c>
      <c r="B65" s="318">
        <f>HYPERLINK("http://codeforces.com/contest/69/problem/C","CF69-D2-C")</f>
        <v/>
      </c>
      <c r="C65" s="418" t="n"/>
      <c r="D65" s="418" t="n"/>
      <c r="E65" s="418" t="n"/>
      <c r="F65" s="418" t="n"/>
      <c r="G65" s="418" t="n"/>
      <c r="H65" s="418" t="n"/>
      <c r="I65" s="404">
        <f>SUM(E65:H65)</f>
        <v/>
      </c>
      <c r="J65" s="404" t="n"/>
      <c r="K65" s="404" t="n"/>
      <c r="M65" s="295" t="n"/>
    </row>
    <row r="66" ht="15.75" customHeight="1" s="279">
      <c r="A66" s="482" t="inlineStr">
        <is>
          <t>Ciel and Robot</t>
        </is>
      </c>
      <c r="B66" s="318">
        <f>HYPERLINK("http://codeforces.com/contest/322/problem/C","CF322-D2-C")</f>
        <v/>
      </c>
      <c r="C66" s="418" t="n"/>
      <c r="D66" s="418" t="n"/>
      <c r="E66" s="418" t="n"/>
      <c r="F66" s="418" t="n"/>
      <c r="G66" s="418" t="n"/>
      <c r="H66" s="418" t="n"/>
      <c r="I66" s="404">
        <f>SUM(E66:H66)</f>
        <v/>
      </c>
      <c r="J66" s="404" t="n"/>
      <c r="K66" s="404" t="n"/>
      <c r="M66" s="295" t="n"/>
    </row>
    <row r="67" ht="15.75" customHeight="1" s="279">
      <c r="A67" s="482" t="inlineStr">
        <is>
          <t>Plus and Square Root</t>
        </is>
      </c>
      <c r="B67" s="318">
        <f>HYPERLINK("http://codeforces.com/contest/716/problem/C","CF716-D2-C")</f>
        <v/>
      </c>
      <c r="C67" s="418" t="n"/>
      <c r="D67" s="418" t="n"/>
      <c r="E67" s="418" t="n"/>
      <c r="F67" s="418" t="n"/>
      <c r="G67" s="418" t="n"/>
      <c r="H67" s="418" t="n"/>
      <c r="I67" s="404">
        <f>SUM(E67:H67)</f>
        <v/>
      </c>
      <c r="J67" s="404" t="n"/>
      <c r="K67" s="404" t="n"/>
      <c r="M67" s="295" t="n"/>
    </row>
    <row r="68" ht="15.75" customHeight="1" s="279">
      <c r="A68" s="304" t="n"/>
      <c r="B68" s="421" t="n"/>
      <c r="C68" s="418" t="n"/>
      <c r="D68" s="418" t="n"/>
      <c r="E68" s="418" t="n"/>
      <c r="F68" s="418" t="n"/>
      <c r="G68" s="418" t="n"/>
      <c r="H68" s="418" t="n"/>
      <c r="I68" s="404">
        <f>SUM(E68:H68)</f>
        <v/>
      </c>
      <c r="J68" s="404" t="n"/>
      <c r="K68" s="404" t="n"/>
      <c r="M68" s="295" t="n"/>
    </row>
    <row r="69" ht="15.75" customHeight="1" s="279">
      <c r="A69" s="437" t="inlineStr">
        <is>
          <t>Boxes in a Line</t>
        </is>
      </c>
      <c r="B69" s="317">
        <f>HYPERLINK("https://uva.onlinejudge.org/index.php?option=com_onlinejudge&amp;Itemid=8&amp;page=show_problem&amp;problem=4395","UVA 12657")</f>
        <v/>
      </c>
      <c r="C69" s="418" t="n"/>
      <c r="D69" s="418" t="n"/>
      <c r="E69" s="418" t="n"/>
      <c r="F69" s="418" t="n"/>
      <c r="G69" s="418" t="n"/>
      <c r="H69" s="418" t="n"/>
      <c r="I69" s="404">
        <f>SUM(E69:H69)</f>
        <v/>
      </c>
      <c r="J69" s="295" t="n"/>
      <c r="K69" s="295" t="n"/>
      <c r="M69" s="327">
        <f>HYPERLINK("http://qkxue.net/info/113260/UVA-Boxes-Line-12657","Sol")</f>
        <v/>
      </c>
    </row>
    <row r="70" ht="15.75" customHeight="1" s="279">
      <c r="A70" s="437" t="n"/>
      <c r="B70" s="437" t="inlineStr">
        <is>
          <t>SPOJ QUEST4</t>
        </is>
      </c>
      <c r="C70" s="418" t="n"/>
      <c r="D70" s="418" t="n"/>
      <c r="E70" s="418" t="n"/>
      <c r="F70" s="418" t="n"/>
      <c r="G70" s="418" t="n"/>
      <c r="H70" s="418" t="n"/>
      <c r="I70" s="404">
        <f>SUM(E70:H70)</f>
        <v/>
      </c>
      <c r="J70" s="404" t="n"/>
      <c r="K70" s="404" t="n"/>
      <c r="M70" s="327">
        <f>HYPERLINK("https://github.com/BRAINOOOO/CompetitiveProgramming/blob/master/Spoj/SPOJ%20QUEST4.Cpp","Sol")</f>
        <v/>
      </c>
    </row>
    <row r="71" ht="15.75" customHeight="1" s="279">
      <c r="A71" s="437" t="inlineStr">
        <is>
          <t>Multifactorials</t>
        </is>
      </c>
      <c r="B71" s="500">
        <f>HYPERLINK("https://uva.onlinejudge.org/index.php?option=onlinejudge&amp;page=show_problem&amp;problem=2322","UVA 11347")</f>
        <v/>
      </c>
      <c r="C71" s="418" t="n"/>
      <c r="D71" s="418" t="n"/>
      <c r="E71" s="418" t="n"/>
      <c r="F71" s="418" t="n"/>
      <c r="G71" s="418" t="n"/>
      <c r="H71" s="418" t="n"/>
      <c r="I71" s="404">
        <f>SUM(E71:H71)</f>
        <v/>
      </c>
      <c r="J71" s="404" t="n"/>
      <c r="K71" s="404" t="n"/>
    </row>
    <row r="72" ht="15.75" customHeight="1" s="279">
      <c r="A72" s="437" t="inlineStr">
        <is>
          <t>Crimewave</t>
        </is>
      </c>
      <c r="B72" s="500">
        <f>HYPERLINK("https://uva.onlinejudge.org/index.php?option=com_onlinejudge&amp;Itemid=8&amp;page=show_problem&amp;problem=504","UVA 563")</f>
        <v/>
      </c>
      <c r="C72" s="418" t="n"/>
      <c r="D72" s="418" t="n"/>
      <c r="E72" s="418" t="n"/>
      <c r="F72" s="418" t="n"/>
      <c r="G72" s="418" t="n"/>
      <c r="H72" s="418" t="n"/>
      <c r="I72" s="404">
        <f>SUM(E72:H72)</f>
        <v/>
      </c>
      <c r="J72" s="404" t="n"/>
      <c r="K72" s="404" t="n"/>
      <c r="M72" s="327">
        <f>HYPERLINK("https://github.com/BRAINOOOO/CompetitiveProgramming/blob/d60a5d1364a8f6aba3cd785c1e5d7825bf3818bc/UVA/UVA%20563.Cpp","Sol")</f>
        <v/>
      </c>
    </row>
    <row r="73" ht="15.75" customHeight="1" s="279">
      <c r="A73" s="437" t="n"/>
      <c r="B73" s="437" t="inlineStr">
        <is>
          <t>SRM545-D2-1000</t>
        </is>
      </c>
      <c r="C73" s="418" t="n"/>
      <c r="D73" s="418" t="n"/>
      <c r="E73" s="418" t="n"/>
      <c r="F73" s="418" t="n"/>
      <c r="G73" s="418" t="n"/>
      <c r="H73" s="418" t="n"/>
      <c r="I73" s="404">
        <f>SUM(E73:H73)</f>
        <v/>
      </c>
      <c r="J73" s="404" t="n"/>
      <c r="K73" s="404" t="n"/>
    </row>
    <row r="74" ht="15.75" customHeight="1" s="279">
      <c r="A74" s="437" t="n"/>
      <c r="B74" s="437" t="inlineStr">
        <is>
          <t>SRM495-D1-500</t>
        </is>
      </c>
      <c r="C74" s="418" t="n"/>
      <c r="D74" s="418" t="n"/>
      <c r="E74" s="418" t="n"/>
      <c r="F74" s="418" t="n"/>
      <c r="G74" s="418" t="n"/>
      <c r="H74" s="418" t="n"/>
      <c r="I74" s="404">
        <f>SUM(E74:H74)</f>
        <v/>
      </c>
      <c r="J74" s="404" t="n"/>
      <c r="K74" s="404" t="n"/>
    </row>
    <row r="75" ht="15.75" customHeight="1" s="279">
      <c r="A75" s="437" t="inlineStr">
        <is>
          <t>Primitive Root</t>
        </is>
      </c>
      <c r="B75" s="500">
        <f>HYPERLINK("http://www.spoj.com/problems/PROOT/","SPOJ PROOT")</f>
        <v/>
      </c>
      <c r="C75" s="418" t="n"/>
      <c r="D75" s="418" t="n"/>
      <c r="E75" s="418" t="n"/>
      <c r="F75" s="418" t="n"/>
      <c r="G75" s="418" t="n"/>
      <c r="H75" s="418" t="n"/>
      <c r="I75" s="404">
        <f>SUM(E75:H75)</f>
        <v/>
      </c>
      <c r="J75" s="404" t="n"/>
      <c r="K75" s="404" t="n"/>
      <c r="M75" s="327">
        <f>HYPERLINK("http://zobayer.blogspot.com/2010/02/primitive-root.html","Sol")</f>
        <v/>
      </c>
    </row>
    <row r="76" ht="15.75" customHeight="1" s="279">
      <c r="A76" s="437" t="inlineStr">
        <is>
          <t>Of Zorcs and Axes</t>
        </is>
      </c>
      <c r="B76" s="438">
        <f>HYPERLINK("http://codeforces.com/problemset/gymProblem/101149/G","CF101149-GYM-G")</f>
        <v/>
      </c>
      <c r="C76" s="418" t="n"/>
      <c r="D76" s="418" t="n"/>
      <c r="E76" s="418" t="n"/>
      <c r="F76" s="418" t="n"/>
      <c r="G76" s="418" t="n"/>
      <c r="H76" s="418" t="n"/>
      <c r="I76" s="404">
        <f>SUM(E76:H76)</f>
        <v/>
      </c>
      <c r="J76" s="404" t="n"/>
      <c r="K76" s="404" t="n"/>
      <c r="M76" s="327">
        <f>HYPERLINK("https://github.com/BRAINOOOO/CompetitiveProgramming/blob/3057480d3a311cc86a6d64546655a9bb4017cbd6/CF/CF101149-GYM-G.Cpp","Sol")</f>
        <v/>
      </c>
    </row>
    <row r="77" ht="15.75" customHeight="1" s="279">
      <c r="A77" s="437" t="inlineStr">
        <is>
          <t>Connected Components</t>
        </is>
      </c>
      <c r="B77" s="438">
        <f>HYPERLINK("http://codeforces.com/contest/292/problem/D","CF292-D12-D")</f>
        <v/>
      </c>
      <c r="C77" s="418" t="n"/>
      <c r="D77" s="418" t="n"/>
      <c r="E77" s="418" t="n"/>
      <c r="F77" s="418" t="n"/>
      <c r="G77" s="418" t="n"/>
      <c r="H77" s="418" t="n"/>
      <c r="I77" s="404">
        <f>SUM(E77:H77)</f>
        <v/>
      </c>
      <c r="J77" s="404" t="n"/>
      <c r="K77" s="404" t="n"/>
    </row>
    <row r="78" ht="15.75" customHeight="1" s="279">
      <c r="A78" s="437" t="inlineStr">
        <is>
          <t>AND Rounds</t>
        </is>
      </c>
      <c r="B78" s="500">
        <f>HYPERLINK("http://www.spoj.com/problems/ANDROUND","SPOJ ANDROUND")</f>
        <v/>
      </c>
      <c r="C78" s="418" t="n"/>
      <c r="D78" s="418" t="n"/>
      <c r="E78" s="418" t="n"/>
      <c r="F78" s="418" t="n"/>
      <c r="G78" s="418" t="n"/>
      <c r="H78" s="418" t="n"/>
      <c r="I78" s="404">
        <f>SUM(E78:H78)</f>
        <v/>
      </c>
      <c r="J78" s="404" t="n"/>
      <c r="K78" s="404" t="n"/>
      <c r="M78" s="327">
        <f>HYPERLINK("https://github.com/AliOsm/CompetitiveProgramming/blob/master/SPOJ/ANDROUND%20-%20AND%20Rounds.cpp","Sol")</f>
        <v/>
      </c>
    </row>
    <row r="79" ht="15.75" customHeight="1" s="279">
      <c r="A79" s="437" t="inlineStr">
        <is>
          <t>Campus Roads</t>
        </is>
      </c>
      <c r="B79" s="438">
        <f>HYPERLINK("https://uva.onlinejudge.org/index.php?option=onlinejudge&amp;page=show_problem&amp;problem=2468","UVA 11473")</f>
        <v/>
      </c>
      <c r="C79" s="418" t="n"/>
      <c r="D79" s="418" t="n"/>
      <c r="E79" s="418" t="n"/>
      <c r="F79" s="418" t="n"/>
      <c r="G79" s="418" t="n"/>
      <c r="H79" s="418" t="n"/>
      <c r="I79" s="404">
        <f>SUM(E79:H79)</f>
        <v/>
      </c>
      <c r="J79" s="404" t="n"/>
      <c r="K79" s="404" t="n"/>
      <c r="M79" s="327">
        <f>HYPERLINK("https://github.com/osamahatem/CompetitiveProgramming/blob/master/UVA/11473%20-%20Campus%20Roads.cpp","Sol")</f>
        <v/>
      </c>
    </row>
    <row r="80" ht="15.75" customHeight="1" s="279">
      <c r="A80" s="437" t="inlineStr">
        <is>
          <t>The Child and Zoo</t>
        </is>
      </c>
      <c r="B80" s="438">
        <f>HYPERLINK("http://codeforces.com/contest/437/problem/D","CF437-D2-D")</f>
        <v/>
      </c>
      <c r="C80" s="418" t="n"/>
      <c r="D80" s="418" t="n"/>
      <c r="E80" s="418" t="n"/>
      <c r="F80" s="418" t="n"/>
      <c r="G80" s="418" t="n"/>
      <c r="H80" s="418" t="n"/>
      <c r="I80" s="404">
        <f>SUM(E80:H80)</f>
        <v/>
      </c>
      <c r="J80" s="404" t="n"/>
      <c r="K80" s="404" t="n"/>
      <c r="M80" s="327">
        <f>HYPERLINK("https://github.com/abdullaAshraf/Problem-Solving/blob/master/CodeForces/CF437-D2-D.cpp","Sol")</f>
        <v/>
      </c>
    </row>
    <row r="81" ht="15.75" customHeight="1" s="279">
      <c r="A81" s="437" t="n"/>
      <c r="B81" s="438">
        <f>HYPERLINK("http://codeforces.com/contest/403/problem/C","CF403-D1-C")</f>
        <v/>
      </c>
      <c r="C81" s="418" t="n"/>
      <c r="D81" s="418" t="n"/>
      <c r="E81" s="418" t="n"/>
      <c r="F81" s="418" t="n"/>
      <c r="G81" s="418" t="n"/>
      <c r="H81" s="418" t="n"/>
      <c r="I81" s="404">
        <f>SUM(E81:H81)</f>
        <v/>
      </c>
      <c r="J81" s="404" t="n"/>
      <c r="K81" s="404" t="n"/>
    </row>
    <row r="82" ht="15.75" customHeight="1" s="279">
      <c r="A82" s="437" t="n"/>
      <c r="B82" s="438">
        <f>HYPERLINK("http://codeforces.com/contest/787/problem/C","CF787-D2-C")</f>
        <v/>
      </c>
      <c r="C82" s="418" t="n"/>
      <c r="D82" s="418" t="n"/>
      <c r="E82" s="418" t="n"/>
      <c r="F82" s="418" t="n"/>
      <c r="G82" s="418" t="n"/>
      <c r="H82" s="418" t="n"/>
      <c r="I82" s="404">
        <f>SUM(E82:H82)</f>
        <v/>
      </c>
      <c r="J82" s="404" t="n"/>
      <c r="K82" s="404" t="n"/>
    </row>
    <row r="83" ht="15.75" customHeight="1" s="279">
      <c r="A83" s="437" t="n"/>
      <c r="B83" s="438">
        <f>HYPERLINK("http://codeforces.com/contest/309/problem/B","CF309-D12-B")</f>
        <v/>
      </c>
      <c r="C83" s="418" t="n"/>
      <c r="D83" s="418" t="n"/>
      <c r="E83" s="418" t="n"/>
      <c r="F83" s="418" t="n"/>
      <c r="G83" s="418" t="n"/>
      <c r="H83" s="418" t="n"/>
      <c r="I83" s="404">
        <f>SUM(E83:H83)</f>
        <v/>
      </c>
      <c r="J83" s="404" t="n"/>
      <c r="K83" s="404" t="n"/>
    </row>
    <row r="84" ht="15.75" customHeight="1" s="279">
      <c r="A84" s="437" t="n"/>
      <c r="B84" s="437" t="inlineStr">
        <is>
          <t>SRM392-D1-1000</t>
        </is>
      </c>
      <c r="C84" s="418" t="n"/>
      <c r="D84" s="418" t="n"/>
      <c r="E84" s="418" t="n"/>
      <c r="F84" s="418" t="n"/>
      <c r="G84" s="418" t="n"/>
      <c r="H84" s="418" t="n"/>
      <c r="I84" s="404">
        <f>SUM(E84:H84)</f>
        <v/>
      </c>
      <c r="J84" s="404" t="n"/>
      <c r="K84" s="404" t="n"/>
    </row>
    <row r="85" ht="15.75" customHeight="1" s="279">
      <c r="A85" s="437" t="n"/>
      <c r="B85" s="437" t="inlineStr">
        <is>
          <t>UVA 12128</t>
        </is>
      </c>
      <c r="C85" s="418" t="n"/>
      <c r="D85" s="418" t="n"/>
      <c r="E85" s="418" t="n"/>
      <c r="F85" s="418" t="n"/>
      <c r="G85" s="418" t="n"/>
      <c r="H85" s="418" t="n"/>
      <c r="I85" s="404">
        <f>SUM(E85:H85)</f>
        <v/>
      </c>
      <c r="J85" s="404" t="n"/>
      <c r="K85" s="404" t="n"/>
    </row>
    <row r="86" ht="15.75" customHeight="1" s="279">
      <c r="A86" s="437" t="n"/>
      <c r="B86" s="437" t="inlineStr">
        <is>
          <t>Timus 1362</t>
        </is>
      </c>
      <c r="C86" s="418" t="n"/>
      <c r="D86" s="418" t="n"/>
      <c r="E86" s="418" t="n"/>
      <c r="F86" s="418" t="n"/>
      <c r="G86" s="418" t="n"/>
      <c r="H86" s="418" t="n"/>
      <c r="I86" s="404">
        <f>SUM(E86:H86)</f>
        <v/>
      </c>
      <c r="J86" s="404" t="n"/>
      <c r="K86" s="404" t="n"/>
      <c r="M86" s="327">
        <f>HYPERLINK("https://github.com/MeGaCrazy/CompetitiveProgramming/blob/2a3c686ba85081a14c9df160224fc1659f7f93ab/Timus/TIMUS_1362.cpp","Sol")</f>
        <v/>
      </c>
    </row>
    <row r="87" ht="15.75" customHeight="1" s="279">
      <c r="A87" s="437" t="n"/>
      <c r="B87" s="438">
        <f>HYPERLINK("http://codeforces.com/contest/1012/problem/C","CF1012-D1-C")</f>
        <v/>
      </c>
      <c r="C87" s="418" t="n"/>
      <c r="D87" s="418" t="n"/>
      <c r="E87" s="418" t="n"/>
      <c r="F87" s="418" t="n"/>
      <c r="G87" s="418" t="n"/>
      <c r="H87" s="418" t="n"/>
      <c r="I87" s="404">
        <f>SUM(E87:H87)</f>
        <v/>
      </c>
      <c r="J87" s="404" t="n"/>
      <c r="K87" s="404" t="n"/>
    </row>
    <row r="88" ht="15.75" customHeight="1" s="279">
      <c r="A88" s="437" t="n"/>
      <c r="B88" s="437" t="inlineStr">
        <is>
          <t>SPOJ COCONUTS</t>
        </is>
      </c>
      <c r="C88" s="418" t="n"/>
      <c r="D88" s="418" t="n"/>
      <c r="E88" s="418" t="n"/>
      <c r="F88" s="418" t="n"/>
      <c r="G88" s="418" t="n"/>
      <c r="H88" s="418" t="n"/>
      <c r="I88" s="404">
        <f>SUM(E88:H88)</f>
        <v/>
      </c>
      <c r="J88" s="404" t="n"/>
      <c r="K88" s="404" t="n"/>
      <c r="M88" s="327">
        <f>HYPERLINK("https://github.com/Huvok/CompetitiveProgramming/blob/master/SPOJ/COCONUTS.cpp","Sol")</f>
        <v/>
      </c>
    </row>
    <row r="89" ht="15.75" customHeight="1" s="279">
      <c r="A89" s="437" t="n"/>
      <c r="B89" s="438">
        <f>HYPERLINK("https://www.facebook.com/hackercup/problem/1153996538071503/", "FbHkrCup 18-RQ-C")</f>
        <v/>
      </c>
      <c r="C89" s="418" t="n"/>
      <c r="D89" s="418" t="n"/>
      <c r="E89" s="418" t="n"/>
      <c r="F89" s="418" t="n"/>
      <c r="G89" s="418" t="n"/>
      <c r="H89" s="418" t="n"/>
      <c r="I89" s="404">
        <f>SUM(E89:H89)</f>
        <v/>
      </c>
      <c r="J89" s="404" t="n"/>
      <c r="K89" s="404" t="n"/>
    </row>
    <row r="90" ht="15.75" customHeight="1" s="279">
      <c r="A90" s="437" t="n"/>
      <c r="B90" s="437" t="inlineStr">
        <is>
          <t>LIVEARCHIVE 4682</t>
        </is>
      </c>
      <c r="C90" s="418" t="n"/>
      <c r="D90" s="418" t="n"/>
      <c r="E90" s="418" t="n"/>
      <c r="F90" s="418" t="n"/>
      <c r="G90" s="418" t="n"/>
      <c r="H90" s="418" t="n"/>
      <c r="I90" s="404">
        <f>SUM(E90:H90)</f>
        <v/>
      </c>
      <c r="J90" s="404" t="n"/>
      <c r="K90" s="404" t="n"/>
      <c r="M90" s="327">
        <f>HYPERLINK("https://github.com/HosamEissa/Competitive-programming-/blob/master/ACM-ICPC%20Live%20Archive/4682.cpp","Sol")</f>
        <v/>
      </c>
    </row>
    <row r="91" ht="15.75" customHeight="1" s="279">
      <c r="A91" s="304" t="n"/>
      <c r="B91" s="421" t="n"/>
      <c r="C91" s="418" t="n"/>
      <c r="D91" s="418" t="n"/>
      <c r="E91" s="418" t="n"/>
      <c r="F91" s="418" t="n"/>
      <c r="G91" s="418" t="n"/>
      <c r="H91" s="418" t="n"/>
      <c r="I91" s="404">
        <f>SUM(E91:H91)</f>
        <v/>
      </c>
      <c r="J91" s="404" t="n"/>
      <c r="K91" s="404" t="n"/>
      <c r="M91" s="295" t="n"/>
    </row>
    <row r="92" ht="15.75" customHeight="1" s="279">
      <c r="A92" s="295" t="inlineStr">
        <is>
          <t>Image Preview</t>
        </is>
      </c>
      <c r="B92" s="417">
        <f>HYPERLINK("http://codeforces.com/contest/651/problem/D","CF651-D2-D")</f>
        <v/>
      </c>
      <c r="C92" s="418" t="n"/>
      <c r="D92" s="418" t="n"/>
      <c r="E92" s="418" t="n"/>
      <c r="F92" s="418" t="n"/>
      <c r="G92" s="418" t="n"/>
      <c r="H92" s="418" t="n"/>
      <c r="I92" s="404">
        <f>SUM(E92:H92)</f>
        <v/>
      </c>
      <c r="J92" s="295" t="n"/>
      <c r="K92" s="295" t="n"/>
      <c r="M92" s="295" t="n"/>
    </row>
    <row r="93" ht="15.75" customHeight="1" s="279">
      <c r="A93" s="295" t="inlineStr">
        <is>
          <t>Maximum Xor Secondary</t>
        </is>
      </c>
      <c r="B93" s="417">
        <f>HYPERLINK("http://codeforces.com/contest/281/problem/D","CF281-D2-D")</f>
        <v/>
      </c>
      <c r="C93" s="418" t="n"/>
      <c r="D93" s="418" t="n"/>
      <c r="E93" s="418" t="n"/>
      <c r="F93" s="418" t="n"/>
      <c r="G93" s="418" t="n"/>
      <c r="H93" s="418" t="n"/>
      <c r="I93" s="404">
        <f>SUM(E93:H93)</f>
        <v/>
      </c>
      <c r="J93" s="295" t="n"/>
      <c r="K93" s="295" t="n"/>
      <c r="M93" s="295" t="n"/>
    </row>
    <row r="94" ht="15.75" customHeight="1" s="279">
      <c r="A94" s="295" t="inlineStr">
        <is>
          <t>Ilya and Roads</t>
        </is>
      </c>
      <c r="B94" s="417">
        <f>HYPERLINK("http://codeforces.com/contest/313/problem/D","CF313-D2-D")</f>
        <v/>
      </c>
      <c r="C94" s="418" t="n"/>
      <c r="D94" s="418" t="n"/>
      <c r="E94" s="418" t="n"/>
      <c r="F94" s="418" t="n"/>
      <c r="G94" s="418" t="n"/>
      <c r="H94" s="418" t="n"/>
      <c r="I94" s="404">
        <f>SUM(E94:H94)</f>
        <v/>
      </c>
      <c r="J94" s="295" t="n"/>
      <c r="K94" s="295" t="n"/>
      <c r="M94" s="295" t="n"/>
    </row>
    <row r="95" ht="15.75" customHeight="1" s="279">
      <c r="A95" s="295" t="inlineStr">
        <is>
          <t>Mr. Bender and Square</t>
        </is>
      </c>
      <c r="B95" s="417">
        <f>HYPERLINK("http://codeforces.com/contest/255/problem/D","CF255-D2-D")</f>
        <v/>
      </c>
      <c r="C95" s="418" t="n"/>
      <c r="D95" s="418" t="n"/>
      <c r="E95" s="418" t="n"/>
      <c r="F95" s="418" t="n"/>
      <c r="G95" s="418" t="n"/>
      <c r="H95" s="418" t="n"/>
      <c r="I95" s="404">
        <f>SUM(E95:H95)</f>
        <v/>
      </c>
      <c r="J95" s="295" t="n"/>
      <c r="K95" s="295" t="n"/>
      <c r="M95" s="295" t="n"/>
    </row>
    <row r="96" ht="15.75" customHeight="1" s="279">
      <c r="A96" s="304" t="inlineStr">
        <is>
          <t>Fish Weight</t>
        </is>
      </c>
      <c r="B96" s="421">
        <f>HYPERLINK("http://codeforces.com/contest/298/problem/D","CF298-D2-D")</f>
        <v/>
      </c>
      <c r="C96" s="418" t="n"/>
      <c r="D96" s="418" t="n"/>
      <c r="E96" s="418" t="n"/>
      <c r="F96" s="418" t="n"/>
      <c r="G96" s="418" t="n"/>
      <c r="H96" s="418" t="n"/>
      <c r="I96" s="404">
        <f>SUM(E96:H96)</f>
        <v/>
      </c>
      <c r="J96" s="404" t="n"/>
      <c r="K96" s="404" t="n"/>
      <c r="M96" s="295" t="n"/>
    </row>
    <row r="97" ht="15.75" customHeight="1" s="279">
      <c r="A97" s="304" t="inlineStr">
        <is>
          <t>T-decomposition</t>
        </is>
      </c>
      <c r="B97" s="421">
        <f>HYPERLINK("http://codeforces.com/contest/237/problem/D","CF237-D2-D")</f>
        <v/>
      </c>
      <c r="C97" s="418" t="n"/>
      <c r="D97" s="418" t="n"/>
      <c r="E97" s="418" t="n"/>
      <c r="F97" s="418" t="n"/>
      <c r="G97" s="418" t="n"/>
      <c r="H97" s="418" t="n"/>
      <c r="I97" s="404">
        <f>SUM(E97:H97)</f>
        <v/>
      </c>
      <c r="J97" s="404" t="n"/>
      <c r="K97" s="404" t="n"/>
      <c r="M97" s="295" t="n"/>
    </row>
    <row r="98" ht="15.75" customHeight="1" s="279">
      <c r="A98" s="304" t="inlineStr">
        <is>
          <t>Wizards and Huge Prize</t>
        </is>
      </c>
      <c r="B98" s="421">
        <f>HYPERLINK("http://codeforces.com/contest/168/problem/D","CF168-D2-D")</f>
        <v/>
      </c>
      <c r="C98" s="418" t="n"/>
      <c r="D98" s="418" t="n"/>
      <c r="E98" s="418" t="n"/>
      <c r="F98" s="418" t="n"/>
      <c r="G98" s="418" t="n"/>
      <c r="H98" s="418" t="n"/>
      <c r="I98" s="404">
        <f>SUM(E98:H98)</f>
        <v/>
      </c>
      <c r="J98" s="404" t="n"/>
      <c r="K98" s="404" t="n"/>
      <c r="M98" s="295" t="n"/>
    </row>
    <row r="99" ht="23.25" customHeight="1" s="279">
      <c r="A99" s="304" t="n"/>
      <c r="B99" s="421">
        <f>HYPERLINK("https://www.codechef.com/LTIME64B/problems/BJUDGE","CODECHEF BJUDGE")</f>
        <v/>
      </c>
      <c r="C99" s="418" t="n"/>
      <c r="D99" s="418" t="n"/>
      <c r="E99" s="418" t="n"/>
      <c r="F99" s="418" t="n"/>
      <c r="G99" s="418" t="n"/>
      <c r="H99" s="418" t="n"/>
      <c r="I99" s="404">
        <f>SUM(E99:H99)</f>
        <v/>
      </c>
      <c r="J99" s="404" t="n"/>
      <c r="K99" s="404" t="n"/>
      <c r="M99" s="295" t="n"/>
    </row>
    <row r="100" ht="15.75" customHeight="1" s="279">
      <c r="A100" s="482" t="inlineStr">
        <is>
          <t>Dima and Salad</t>
        </is>
      </c>
      <c r="B100" s="318">
        <f>HYPERLINK("http://codeforces.com/contest/366/problem/C","CF366-D2-C")</f>
        <v/>
      </c>
      <c r="C100" s="418" t="n"/>
      <c r="D100" s="418" t="n"/>
      <c r="E100" s="418" t="n"/>
      <c r="F100" s="418" t="n"/>
      <c r="G100" s="418" t="n"/>
      <c r="H100" s="418" t="n"/>
      <c r="I100" s="404">
        <f>SUM(E100:H100)</f>
        <v/>
      </c>
      <c r="J100" s="404" t="n"/>
      <c r="K100" s="404" t="n"/>
      <c r="M100" s="295" t="n"/>
    </row>
    <row r="101" ht="15.75" customHeight="1" s="279">
      <c r="A101" s="304" t="n"/>
      <c r="C101" s="418" t="n"/>
      <c r="D101" s="418" t="n"/>
      <c r="E101" s="418" t="n"/>
      <c r="F101" s="418" t="n"/>
      <c r="G101" s="418" t="n"/>
      <c r="H101" s="418" t="n"/>
      <c r="I101" s="404">
        <f>SUM(E101:H101)</f>
        <v/>
      </c>
      <c r="J101" s="404" t="n"/>
      <c r="K101" s="404" t="n"/>
      <c r="M101" s="295" t="n"/>
    </row>
    <row r="102" ht="15.75" customHeight="1" s="279">
      <c r="A102" s="437" t="inlineStr">
        <is>
          <t>Arbitrage</t>
        </is>
      </c>
      <c r="B102" s="317">
        <f>HYPERLINK("https://uva.onlinejudge.org/index.php?option=com_onlinejudge&amp;Itemid=8&amp;page=show_problem&amp;problem=40","UVA 104")</f>
        <v/>
      </c>
      <c r="C102" s="418" t="n"/>
      <c r="D102" s="418" t="n"/>
      <c r="E102" s="418" t="n"/>
      <c r="F102" s="418" t="n"/>
      <c r="G102" s="418" t="n"/>
      <c r="H102" s="418" t="n"/>
      <c r="I102" s="404">
        <f>SUM(E102:H102)</f>
        <v/>
      </c>
      <c r="J102" s="295" t="n"/>
      <c r="K102" s="295" t="n"/>
      <c r="M102" s="327">
        <f>HYPERLINK("https://github.com/abdullaAshraf/Problem-Solving/blob/master/UVA/104.cpp","Sol")</f>
        <v/>
      </c>
    </row>
    <row r="103" ht="15.75" customHeight="1" s="279">
      <c r="A103" s="437" t="inlineStr">
        <is>
          <t>Random Task</t>
        </is>
      </c>
      <c r="B103" s="438">
        <f>HYPERLINK("http://codeforces.com/contest/431/problem/D","CF431-D2-D")</f>
        <v/>
      </c>
      <c r="C103" s="418" t="n"/>
      <c r="D103" s="418" t="n"/>
      <c r="E103" s="418" t="n"/>
      <c r="F103" s="418" t="n"/>
      <c r="G103" s="418" t="n"/>
      <c r="H103" s="418" t="n"/>
      <c r="I103" s="404">
        <f>SUM(E103:H103)</f>
        <v/>
      </c>
      <c r="J103" s="295" t="n"/>
      <c r="K103" s="295" t="n"/>
    </row>
    <row r="104" ht="15.75" customHeight="1" s="279">
      <c r="A104" s="437" t="inlineStr">
        <is>
          <t>Black Box</t>
        </is>
      </c>
      <c r="B104" s="317">
        <f>HYPERLINK("https://uva.onlinejudge.org/index.php?option=onlinejudge&amp;page=show_problem&amp;problem=442","UVA 501")</f>
        <v/>
      </c>
      <c r="C104" s="418" t="n"/>
      <c r="D104" s="418" t="n"/>
      <c r="E104" s="418" t="n"/>
      <c r="F104" s="418" t="n"/>
      <c r="G104" s="418" t="n"/>
      <c r="H104" s="418" t="n"/>
      <c r="I104" s="404">
        <f>SUM(E104:H104)</f>
        <v/>
      </c>
      <c r="J104" s="295" t="n"/>
      <c r="K104" s="295" t="n"/>
      <c r="M104" s="327">
        <f>HYPERLINK("https://github.com/mostafa-saad/MyCompetitiveProgramming/blob/master/UVA/UVA_501.txt","Sol - Must Read")</f>
        <v/>
      </c>
    </row>
    <row r="105" ht="15.75" customHeight="1" s="279">
      <c r="A105" s="437" t="inlineStr">
        <is>
          <t>Expressions</t>
        </is>
      </c>
      <c r="B105" s="317">
        <f>HYPERLINK("https://uva.onlinejudge.org/index.php?option=com_onlinejudge&amp;Itemid=8&amp;page=show_problem&amp;problem=2175","UVA 11234")</f>
        <v/>
      </c>
      <c r="C105" s="418" t="n"/>
      <c r="D105" s="418" t="n"/>
      <c r="E105" s="418" t="n"/>
      <c r="F105" s="418" t="n"/>
      <c r="G105" s="418" t="n"/>
      <c r="H105" s="418" t="n"/>
      <c r="I105" s="404">
        <f>SUM(E105:H105)</f>
        <v/>
      </c>
      <c r="J105" s="295" t="n"/>
      <c r="K105" s="295" t="n"/>
      <c r="M105" s="327">
        <f>HYPERLINK("https://github.com/AbdelrahmanRamadan/competitive-programming/blob/master/UVA/11234%20-%20Expressions.cpp","Sol")</f>
        <v/>
      </c>
    </row>
    <row r="106" ht="15.75" customHeight="1" s="279">
      <c r="A106" s="437" t="inlineStr">
        <is>
          <t>Showstopper</t>
        </is>
      </c>
      <c r="B106" s="317">
        <f>HYPERLINK("http://www.spoj.com/problems/MSE07E/","SPOJ MSE07E")</f>
        <v/>
      </c>
      <c r="C106" s="418" t="n"/>
      <c r="D106" s="418" t="n"/>
      <c r="E106" s="418" t="n"/>
      <c r="F106" s="418" t="n"/>
      <c r="G106" s="418" t="n"/>
      <c r="H106" s="418" t="n"/>
      <c r="I106" s="404">
        <f>SUM(E106:H106)</f>
        <v/>
      </c>
      <c r="J106" s="295" t="n"/>
      <c r="K106" s="295" t="n"/>
      <c r="M106" s="327">
        <f>HYPERLINK("https://github.com/mostafa-saad/MyCompetitiveProgramming/blob/master/SPOJ/SPOJ_MSE07E.txt","Read SPOJ users' comments about IO. See here sol")</f>
        <v/>
      </c>
    </row>
    <row r="107" ht="15.75" customHeight="1" s="279">
      <c r="A107" s="437" t="inlineStr">
        <is>
          <t>Tobo or not Tobo</t>
        </is>
      </c>
      <c r="B107" s="317">
        <f>HYPERLINK("http://www.spoj.com/problems/ANARC08A/","SPOJ ANARC08A")</f>
        <v/>
      </c>
      <c r="C107" s="418" t="n"/>
      <c r="D107" s="418" t="n"/>
      <c r="E107" s="418" t="n"/>
      <c r="F107" s="418" t="n"/>
      <c r="G107" s="418" t="n"/>
      <c r="H107" s="418" t="n"/>
      <c r="I107" s="404">
        <f>SUM(E107:H107)</f>
        <v/>
      </c>
      <c r="J107" s="295" t="n"/>
      <c r="K107" s="295" t="n"/>
      <c r="M107" s="327">
        <f>HYPERLINK("https://github.com/mostafa-saad/MyCompetitiveProgramming/blob/master/SPOJ/SPOJ_ANARC08A.txt","Sol")</f>
        <v/>
      </c>
    </row>
    <row r="108" ht="15.75" customHeight="1" s="279">
      <c r="A108" s="502" t="inlineStr">
        <is>
          <t>Sum-up the Primes</t>
        </is>
      </c>
      <c r="B108" s="500">
        <f>HYPERLINK("https://uva.onlinejudge.org/index.php?option=com_onlinejudge&amp;Itemid=8&amp;page=show_problem&amp;problem=1360","UVA 10419")</f>
        <v/>
      </c>
      <c r="C108" s="418" t="n"/>
      <c r="D108" s="418" t="n"/>
      <c r="E108" s="418" t="n"/>
      <c r="F108" s="418" t="n"/>
      <c r="G108" s="418" t="n"/>
      <c r="H108" s="418" t="n"/>
      <c r="I108" s="404">
        <f>SUM(E108:H108)</f>
        <v/>
      </c>
      <c r="J108" s="404" t="n"/>
      <c r="K108" s="404" t="n"/>
      <c r="M108" s="327">
        <f>HYPERLINK("https://github.com/BRAINOOOO/CompetitiveProgramming/blob/master/UVA/V-104/UVA%2010419.Cpp","Sol")</f>
        <v/>
      </c>
    </row>
    <row r="109" ht="30.75" customHeight="1" s="279">
      <c r="A109" s="502" t="inlineStr">
        <is>
          <t>Largest Rectangle in a Histogram</t>
        </is>
      </c>
      <c r="B109" s="500">
        <f>HYPERLINK("http://www.spoj.com/problems/HISTOGRA/","SPOJ HISTOGRA")</f>
        <v/>
      </c>
      <c r="C109" s="418" t="n"/>
      <c r="D109" s="418" t="n"/>
      <c r="E109" s="418" t="n"/>
      <c r="F109" s="418" t="n"/>
      <c r="G109" s="418" t="n"/>
      <c r="H109" s="418" t="n"/>
      <c r="I109" s="404">
        <f>SUM(E109:H109)</f>
        <v/>
      </c>
      <c r="J109" s="404" t="n"/>
      <c r="K109" s="404" t="n"/>
      <c r="M109" s="327">
        <f>HYPERLINK("https://github.com/mostafa-saad/MyCompetitiveProgramming/blob/master/SPOJ/SPOJ_HISTOGRA.txt","Sol. Don't implement as adhock/greedy/Pure STL. Use a data structure.")</f>
        <v/>
      </c>
    </row>
    <row r="110" ht="15.75" customHeight="1" s="279">
      <c r="A110" s="502" t="n"/>
      <c r="B110" s="502" t="inlineStr">
        <is>
          <t>UVA 663</t>
        </is>
      </c>
      <c r="C110" s="418" t="n"/>
      <c r="D110" s="418" t="n"/>
      <c r="E110" s="418" t="n"/>
      <c r="F110" s="418" t="n"/>
      <c r="G110" s="418" t="n"/>
      <c r="H110" s="418" t="n"/>
      <c r="I110" s="404">
        <f>SUM(E110:H110)</f>
        <v/>
      </c>
      <c r="J110" s="404" t="n"/>
      <c r="K110" s="404" t="n"/>
      <c r="M110" s="327">
        <f>HYPERLINK("https://github.com/BRAINOOOO/CompetitiveProgramming/blob/master/UVA/V-6/UVA%20663.Cpp","Sol")</f>
        <v/>
      </c>
    </row>
    <row r="111" ht="15.75" customHeight="1" s="279">
      <c r="A111" s="503">
        <f>HYPERLINK("https://community.topcoder.com/stat?c=problem_statement&amp;pm=11282&amp;rd=14724","KingdomReorganization")</f>
        <v/>
      </c>
      <c r="B111" s="502" t="inlineStr">
        <is>
          <t>SRM531-D2-1000</t>
        </is>
      </c>
      <c r="C111" s="418" t="n"/>
      <c r="D111" s="418" t="n"/>
      <c r="E111" s="418" t="n"/>
      <c r="F111" s="418" t="n"/>
      <c r="G111" s="418" t="n"/>
      <c r="H111" s="418" t="n"/>
      <c r="I111" s="404">
        <f>SUM(E111:H111)</f>
        <v/>
      </c>
      <c r="J111" s="404" t="n"/>
      <c r="K111" s="404" t="n"/>
    </row>
    <row r="112" ht="15.75" customHeight="1" s="279">
      <c r="A112" s="502" t="inlineStr">
        <is>
          <t>The Problem with the Problem Setter</t>
        </is>
      </c>
      <c r="B112" s="500">
        <f>HYPERLINK("https://uva.onlinejudge.org/index.php?option=com_onlinejudge&amp;Itemid=8&amp;page=show_problem&amp;problem=1033","UVA 10092")</f>
        <v/>
      </c>
      <c r="C112" s="418" t="n"/>
      <c r="D112" s="418" t="n"/>
      <c r="E112" s="418" t="n"/>
      <c r="F112" s="418" t="n"/>
      <c r="G112" s="418" t="n"/>
      <c r="H112" s="418" t="n"/>
      <c r="I112" s="404">
        <f>SUM(E112:H112)</f>
        <v/>
      </c>
      <c r="J112" s="404" t="n"/>
      <c r="K112" s="404" t="n"/>
    </row>
    <row r="113" ht="15.75" customHeight="1" s="279">
      <c r="A113" s="502" t="inlineStr">
        <is>
          <t>Psycho</t>
        </is>
      </c>
      <c r="B113" s="500">
        <f>HYPERLINK("http://www.spoj.com/problems/PSYCHON/","SPOJ PSYCHON")</f>
        <v/>
      </c>
      <c r="C113" s="418" t="n"/>
      <c r="D113" s="418" t="n"/>
      <c r="E113" s="418" t="n"/>
      <c r="F113" s="418" t="n"/>
      <c r="G113" s="418" t="n"/>
      <c r="H113" s="418" t="n"/>
      <c r="I113" s="404">
        <f>SUM(E113:H113)</f>
        <v/>
      </c>
      <c r="J113" s="404" t="n"/>
      <c r="K113" s="404" t="n"/>
    </row>
    <row r="114" ht="15.75" customHeight="1" s="279">
      <c r="A114" s="502" t="inlineStr">
        <is>
          <t>Minimal Ratio Tree</t>
        </is>
      </c>
      <c r="B114" s="500">
        <f>HYPERLINK("https://icpcarchive.ecs.baylor.edu/index.php?option=onlinejudge&amp;page=show_problem&amp;problem=2327","LIVEARCHIVE 4326")</f>
        <v/>
      </c>
      <c r="C114" s="418" t="n"/>
      <c r="D114" s="418" t="n"/>
      <c r="E114" s="418" t="n"/>
      <c r="F114" s="418" t="n"/>
      <c r="G114" s="418" t="n"/>
      <c r="H114" s="418" t="n"/>
      <c r="I114" s="404">
        <f>SUM(E114:H114)</f>
        <v/>
      </c>
      <c r="J114" s="404" t="n"/>
      <c r="K114" s="404" t="n"/>
    </row>
    <row r="115" ht="15.75" customHeight="1" s="279">
      <c r="A115" s="502" t="inlineStr">
        <is>
          <t>RACING</t>
        </is>
      </c>
      <c r="B115" s="500">
        <f>HYPERLINK("https://uva.onlinejudge.org/index.php?option=com_onlinejudge&amp;Itemid=8&amp;page=show_problem&amp;problem=3675","UVA 1234")</f>
        <v/>
      </c>
      <c r="C115" s="418" t="n"/>
      <c r="D115" s="418" t="n"/>
      <c r="E115" s="418" t="n"/>
      <c r="F115" s="418" t="n"/>
      <c r="G115" s="418" t="n"/>
      <c r="H115" s="418" t="n"/>
      <c r="I115" s="404">
        <f>SUM(E115:H115)</f>
        <v/>
      </c>
      <c r="J115" s="404" t="n"/>
      <c r="K115" s="404" t="n"/>
      <c r="M115" s="327">
        <f>HYPERLINK("https://github.com/MohamedNabil97/CompetitiveProgramming/tree/master/UVA/1234.cpp","Sol")</f>
        <v/>
      </c>
    </row>
    <row r="116" ht="15.75" customHeight="1" s="279">
      <c r="A116" s="503">
        <f>HYPERLINK("https://community.topcoder.com/stat?c=problem_statement&amp;pm=10750&amp;rd=14153","ActivateGame")</f>
        <v/>
      </c>
      <c r="B116" s="502" t="inlineStr">
        <is>
          <t>SRM470-D2-1000</t>
        </is>
      </c>
      <c r="C116" s="418" t="n"/>
      <c r="D116" s="418" t="n"/>
      <c r="E116" s="418" t="n"/>
      <c r="F116" s="418" t="n"/>
      <c r="G116" s="418" t="n"/>
      <c r="H116" s="418" t="n"/>
      <c r="I116" s="404">
        <f>SUM(E116:H116)</f>
        <v/>
      </c>
      <c r="J116" s="404" t="n"/>
      <c r="K116" s="404" t="n"/>
    </row>
    <row r="117" ht="15.75" customHeight="1" s="279">
      <c r="A117" s="437" t="inlineStr">
        <is>
          <t>Pair of Numbers</t>
        </is>
      </c>
      <c r="B117" s="317">
        <f>HYPERLINK("http://codeforces.com/contest/359/problem/D","CF359-D2-D")</f>
        <v/>
      </c>
      <c r="C117" s="418" t="n"/>
      <c r="D117" s="418" t="n"/>
      <c r="E117" s="418" t="n"/>
      <c r="F117" s="418" t="n"/>
      <c r="G117" s="418" t="n"/>
      <c r="H117" s="418" t="n"/>
      <c r="I117" s="404">
        <f>SUM(E117:H117)</f>
        <v/>
      </c>
      <c r="J117" s="295" t="n"/>
      <c r="K117" s="295" t="n"/>
      <c r="M117" s="327">
        <f>HYPERLINK("https://github.com/osamahatem/CompetitiveProgramming/blob/master/Codeforces/359D.%20Pair%20of%20Numbers.cpp","Sol")</f>
        <v/>
      </c>
    </row>
    <row r="118" ht="15.75" customHeight="1" s="279">
      <c r="A118" s="437" t="inlineStr">
        <is>
          <t>Nuts for nuts</t>
        </is>
      </c>
      <c r="B118" s="437" t="inlineStr">
        <is>
          <t>UVA 10944</t>
        </is>
      </c>
      <c r="C118" s="418" t="n"/>
      <c r="D118" s="418" t="n"/>
      <c r="E118" s="418" t="n"/>
      <c r="F118" s="418" t="n"/>
      <c r="G118" s="418" t="n"/>
      <c r="H118" s="418" t="n"/>
      <c r="I118" s="404">
        <f>SUM(E118:H118)</f>
        <v/>
      </c>
      <c r="J118" s="295" t="n"/>
      <c r="K118" s="295" t="n"/>
    </row>
    <row r="119" ht="15.75" customHeight="1" s="279">
      <c r="A119" s="437" t="inlineStr">
        <is>
          <t>Probability</t>
        </is>
      </c>
      <c r="B119" s="438">
        <f>HYPERLINK("https://uva.onlinejudge.org/index.php?option=onlinejudge&amp;page=show_problem&amp;problem=2321","UVa 11346")</f>
        <v/>
      </c>
      <c r="C119" s="418" t="n"/>
      <c r="D119" s="418" t="n"/>
      <c r="E119" s="418" t="n"/>
      <c r="F119" s="418" t="n"/>
      <c r="G119" s="418" t="n"/>
      <c r="H119" s="418" t="n"/>
      <c r="I119" s="404">
        <f>SUM(E119:H119)</f>
        <v/>
      </c>
      <c r="J119" s="295" t="n"/>
      <c r="K119" s="295" t="n"/>
      <c r="L119" s="295" t="n"/>
      <c r="M119" s="327">
        <f>HYPERLINK("https://github.com/VAMPIER000001/CompetitiveProgramming/blob/master/UVA/V-113/UVA%2011346.cpp","Sol")</f>
        <v/>
      </c>
    </row>
    <row r="120" ht="15.75" customHeight="1" s="279">
      <c r="A120" s="437" t="n"/>
      <c r="B120" s="437" t="inlineStr">
        <is>
          <t>SRM470-D1-500</t>
        </is>
      </c>
      <c r="C120" s="418" t="n"/>
      <c r="D120" s="418" t="n"/>
      <c r="E120" s="418" t="n"/>
      <c r="F120" s="418" t="n"/>
      <c r="G120" s="418" t="n"/>
      <c r="H120" s="418" t="n"/>
      <c r="I120" s="404">
        <f>SUM(E120:H120)</f>
        <v/>
      </c>
      <c r="J120" s="295" t="n"/>
      <c r="K120" s="295" t="n"/>
      <c r="L120" s="295" t="n"/>
      <c r="M120" s="420" t="n"/>
    </row>
    <row r="121" ht="15.75" customHeight="1" s="279">
      <c r="A121" s="437" t="n"/>
      <c r="B121" s="437" t="inlineStr">
        <is>
          <t>SPOJ COCONUTS</t>
        </is>
      </c>
      <c r="C121" s="418" t="n"/>
      <c r="D121" s="418" t="n"/>
      <c r="E121" s="418" t="n"/>
      <c r="F121" s="418" t="n"/>
      <c r="G121" s="418" t="n"/>
      <c r="H121" s="418" t="n"/>
      <c r="I121" s="404">
        <f>SUM(E121:H121)</f>
        <v/>
      </c>
      <c r="J121" s="295" t="n"/>
      <c r="K121" s="295" t="n"/>
      <c r="L121" s="295" t="n"/>
      <c r="M121" s="327">
        <f>HYPERLINK("https://ideone.com/Hkl19P","Sol")</f>
        <v/>
      </c>
    </row>
    <row r="122" ht="15.75" customHeight="1" s="279">
      <c r="A122" s="437" t="n"/>
      <c r="B122" s="438">
        <f>HYPERLINK("http://codeforces.com/contest/592/problem/D","CF592-D2-D")</f>
        <v/>
      </c>
      <c r="C122" s="418" t="n"/>
      <c r="D122" s="418" t="n"/>
      <c r="E122" s="418" t="n"/>
      <c r="F122" s="418" t="n"/>
      <c r="G122" s="418" t="n"/>
      <c r="H122" s="418" t="n"/>
      <c r="I122" s="404">
        <f>SUM(E122:H122)</f>
        <v/>
      </c>
      <c r="J122" s="295" t="n"/>
      <c r="K122" s="295" t="n"/>
      <c r="L122" s="295" t="n"/>
    </row>
    <row r="123" ht="15.75" customHeight="1" s="279">
      <c r="A123" s="437" t="n"/>
      <c r="B123" s="437" t="inlineStr">
        <is>
          <t>UVA 1218</t>
        </is>
      </c>
      <c r="C123" s="418" t="n"/>
      <c r="D123" s="418" t="n"/>
      <c r="E123" s="418" t="n"/>
      <c r="F123" s="418" t="n"/>
      <c r="G123" s="418" t="n"/>
      <c r="H123" s="418" t="n"/>
      <c r="I123" s="404">
        <f>SUM(E123:H123)</f>
        <v/>
      </c>
      <c r="J123" s="295" t="n"/>
      <c r="K123" s="295" t="n"/>
      <c r="L123" s="295" t="n"/>
      <c r="M123" s="327">
        <f>HYPERLINK("https://github.com/mostafa-saad/MyCompetitiveProgramming/blob/master/UVA/UVA_1218.txt","Sol")</f>
        <v/>
      </c>
    </row>
    <row r="124" ht="15.75" customHeight="1" s="279">
      <c r="A124" s="437" t="n"/>
      <c r="B124" s="437" t="inlineStr">
        <is>
          <t>SPOJ IOPC1207</t>
        </is>
      </c>
      <c r="C124" s="418" t="n"/>
      <c r="D124" s="418" t="n"/>
      <c r="E124" s="418" t="n"/>
      <c r="F124" s="418" t="n"/>
      <c r="G124" s="418" t="n"/>
      <c r="H124" s="418" t="n"/>
      <c r="I124" s="404">
        <f>SUM(E124:H124)</f>
        <v/>
      </c>
      <c r="J124" s="295" t="n"/>
      <c r="K124" s="295" t="n"/>
      <c r="L124" s="295" t="n"/>
      <c r="M124" s="327">
        <f>HYPERLINK("https://github.com/mostafa-saad/MyCompetitiveProgramming/blob/master/SPOJ/SPOJ_IOPC1207.txt","Sol")</f>
        <v/>
      </c>
    </row>
    <row r="125" ht="15.75" customHeight="1" s="279">
      <c r="A125" s="437" t="n"/>
      <c r="B125" s="438">
        <f>HYPERLINK("https://codeforces.com/contest/867/problem/E","CF867-D12-E")</f>
        <v/>
      </c>
      <c r="C125" s="418" t="n"/>
      <c r="D125" s="418" t="n"/>
      <c r="E125" s="418" t="n"/>
      <c r="F125" s="418" t="n"/>
      <c r="G125" s="418" t="n"/>
      <c r="H125" s="418" t="n"/>
      <c r="I125" s="404">
        <f>SUM(E125:H125)</f>
        <v/>
      </c>
      <c r="J125" s="295" t="n"/>
      <c r="K125" s="295" t="n"/>
      <c r="L125" s="295" t="n"/>
    </row>
    <row r="126" ht="15.75" customHeight="1" s="279">
      <c r="A126" s="304" t="n"/>
      <c r="C126" s="418" t="n"/>
      <c r="D126" s="418" t="n"/>
      <c r="E126" s="418" t="n"/>
      <c r="F126" s="418" t="n"/>
      <c r="G126" s="418" t="n"/>
      <c r="H126" s="418" t="n"/>
      <c r="I126" s="404">
        <f>SUM(E126:H126)</f>
        <v/>
      </c>
      <c r="J126" s="404" t="n"/>
      <c r="K126" s="404" t="n"/>
      <c r="L126" s="295" t="n"/>
    </row>
    <row r="127" ht="15.75" customHeight="1" s="279">
      <c r="A127" s="295" t="inlineStr">
        <is>
          <t>AlgoRace</t>
        </is>
      </c>
      <c r="B127" s="417">
        <f>HYPERLINK("http://codeforces.com/contest/189/problem/D","CF189-D2-D")</f>
        <v/>
      </c>
      <c r="C127" s="418" t="n"/>
      <c r="D127" s="418" t="n"/>
      <c r="E127" s="418" t="n"/>
      <c r="F127" s="418" t="n"/>
      <c r="G127" s="418" t="n"/>
      <c r="H127" s="418" t="n"/>
      <c r="I127" s="404">
        <f>SUM(E127:H127)</f>
        <v/>
      </c>
      <c r="J127" s="295" t="n"/>
      <c r="K127" s="295" t="n"/>
      <c r="M127" s="327">
        <f>HYPERLINK("https://github.com/OmarMekkawy/Problems-Solved-Codes/blob/master/CodeForces/189D.cpp","Sol")</f>
        <v/>
      </c>
    </row>
    <row r="128" ht="15.75" customHeight="1" s="279">
      <c r="A128" s="295" t="inlineStr">
        <is>
          <t>Moodular Arithmetic</t>
        </is>
      </c>
      <c r="B128" s="417">
        <f>HYPERLINK("http://codeforces.com/contest/604/problem/D","CF604-D2-D")</f>
        <v/>
      </c>
      <c r="C128" s="418" t="n"/>
      <c r="D128" s="418" t="n"/>
      <c r="E128" s="418" t="n"/>
      <c r="F128" s="418" t="n"/>
      <c r="G128" s="418" t="n"/>
      <c r="H128" s="418" t="n"/>
      <c r="I128" s="404">
        <f>SUM(E128:H128)</f>
        <v/>
      </c>
      <c r="J128" s="295" t="n"/>
      <c r="K128" s="295" t="n"/>
      <c r="M128" s="327">
        <f>HYPERLINK("https://github.com/MohamedNabil97/CompetitiveProgramming/blob/master/CodeForces/CF604-D2-D.cpp","Sol")</f>
        <v/>
      </c>
    </row>
    <row r="129" ht="15.75" customHeight="1" s="279">
      <c r="A129" s="304" t="inlineStr">
        <is>
          <t>Lucky Transformation</t>
        </is>
      </c>
      <c r="B129" s="421">
        <f>HYPERLINK("http://codeforces.com/contest/122/problem/D","CF122-D2-D")</f>
        <v/>
      </c>
      <c r="C129" s="418" t="n"/>
      <c r="D129" s="418" t="n"/>
      <c r="E129" s="418" t="n"/>
      <c r="F129" s="418" t="n"/>
      <c r="G129" s="418" t="n"/>
      <c r="H129" s="418" t="n"/>
      <c r="I129" s="404">
        <f>SUM(E129:H129)</f>
        <v/>
      </c>
      <c r="J129" s="404" t="n"/>
      <c r="K129" s="404" t="n"/>
    </row>
    <row r="130" ht="15.75" customHeight="1" s="279">
      <c r="A130" s="304" t="inlineStr">
        <is>
          <t>Boring Partition</t>
        </is>
      </c>
      <c r="B130" s="421">
        <f>HYPERLINK("http://codeforces.com/contest/239/problem/D","CF239-D2-D")</f>
        <v/>
      </c>
      <c r="C130" s="418" t="n"/>
      <c r="D130" s="418" t="n"/>
      <c r="E130" s="418" t="n"/>
      <c r="F130" s="418" t="n"/>
      <c r="G130" s="418" t="n"/>
      <c r="H130" s="418" t="n"/>
      <c r="I130" s="404">
        <f>SUM(E130:H130)</f>
        <v/>
      </c>
      <c r="J130" s="404" t="n"/>
      <c r="K130" s="404" t="n"/>
      <c r="M130" s="327">
        <f>HYPERLINK("https://github.com/MedoN11/CompetitiveProgramming/blob/master/CodeForces/CF239-D2-D.java","Sol. Find proof (See editorial comments)")</f>
        <v/>
      </c>
    </row>
    <row r="131" ht="15.75" customHeight="1" s="279">
      <c r="A131" s="295" t="inlineStr">
        <is>
          <t>Spongebob and Squares</t>
        </is>
      </c>
      <c r="B131" s="417">
        <f>HYPERLINK("http://codeforces.com/contest/599/problem/D","CF599-D2-D")</f>
        <v/>
      </c>
      <c r="C131" s="418" t="n"/>
      <c r="D131" s="418" t="n"/>
      <c r="E131" s="418" t="n"/>
      <c r="F131" s="418" t="n"/>
      <c r="G131" s="418" t="n"/>
      <c r="H131" s="418" t="n"/>
      <c r="I131" s="404">
        <f>SUM(E131:H131)</f>
        <v/>
      </c>
      <c r="J131" s="295" t="n"/>
      <c r="K131" s="295" t="n"/>
    </row>
    <row r="132" ht="15.75" customHeight="1" s="279">
      <c r="A132" s="295" t="inlineStr">
        <is>
          <t>How many trees?</t>
        </is>
      </c>
      <c r="B132" s="417">
        <f>HYPERLINK("http://codeforces.com/contest/9/problem/D","CF9-D2-D")</f>
        <v/>
      </c>
      <c r="C132" s="418" t="n"/>
      <c r="D132" s="418" t="n"/>
      <c r="E132" s="418" t="n"/>
      <c r="F132" s="418" t="n"/>
      <c r="G132" s="418" t="n"/>
      <c r="H132" s="418" t="n"/>
      <c r="I132" s="404">
        <f>SUM(E132:H132)</f>
        <v/>
      </c>
      <c r="J132" s="295" t="n"/>
      <c r="K132" s="295" t="n"/>
    </row>
    <row r="133" ht="15.75" customHeight="1" s="279">
      <c r="A133" s="295" t="n"/>
      <c r="B133" s="417">
        <f>HYPERLINK("http://codeforces.com/contest/1043/problem/E","CF1043-D12-E")</f>
        <v/>
      </c>
      <c r="C133" s="418" t="n"/>
      <c r="D133" s="418" t="n"/>
      <c r="E133" s="418" t="n"/>
      <c r="F133" s="418" t="n"/>
      <c r="G133" s="418" t="n"/>
      <c r="H133" s="418" t="n"/>
      <c r="I133" s="404">
        <f>SUM(E133:H133)</f>
        <v/>
      </c>
      <c r="J133" s="295" t="n"/>
      <c r="K133" s="295" t="n"/>
    </row>
    <row r="134" ht="15.75" customHeight="1" s="279">
      <c r="A134" s="295" t="n"/>
      <c r="B134" s="295" t="inlineStr">
        <is>
          <t>UVA 10982</t>
        </is>
      </c>
      <c r="C134" s="418" t="n"/>
      <c r="D134" s="418" t="n"/>
      <c r="E134" s="418" t="n"/>
      <c r="F134" s="418" t="n"/>
      <c r="G134" s="418" t="n"/>
      <c r="H134" s="418" t="n"/>
      <c r="I134" s="404">
        <f>SUM(E134:H134)</f>
        <v/>
      </c>
      <c r="J134" s="295" t="n"/>
      <c r="K134" s="295" t="n"/>
      <c r="M134" s="327">
        <f>HYPERLINK("https://github.com/jebouin/CompetitiveProgramming/blob/master/UVA/UVA%2010982.cpp","Sol")</f>
        <v/>
      </c>
    </row>
    <row r="135" ht="15.75" customHeight="1" s="279">
      <c r="A135" s="295" t="n"/>
      <c r="B135" s="417">
        <f>HYPERLINK("https://codeforces.com/contest/1060/problem/D","CF1060-D12-D")</f>
        <v/>
      </c>
      <c r="C135" s="418" t="n"/>
      <c r="D135" s="418" t="n"/>
      <c r="E135" s="418" t="n"/>
      <c r="F135" s="418" t="n"/>
      <c r="G135" s="418" t="n"/>
      <c r="H135" s="418" t="n"/>
      <c r="I135" s="404">
        <f>SUM(E135:H135)</f>
        <v/>
      </c>
      <c r="J135" s="295" t="n"/>
      <c r="K135" s="295" t="n"/>
    </row>
    <row r="136" ht="15.75" customHeight="1" s="279">
      <c r="A136" s="482" t="inlineStr">
        <is>
          <t>Cthulhu</t>
        </is>
      </c>
      <c r="B136" s="318">
        <f>HYPERLINK("http://codeforces.com/contest/104/problem/C","CF104-D2-C")</f>
        <v/>
      </c>
      <c r="C136" s="418" t="n"/>
      <c r="D136" s="418" t="n"/>
      <c r="E136" s="418" t="n"/>
      <c r="F136" s="418" t="n"/>
      <c r="G136" s="418" t="n"/>
      <c r="H136" s="418" t="n"/>
      <c r="I136" s="404">
        <f>SUM(E136:H136)</f>
        <v/>
      </c>
      <c r="J136" s="295" t="n"/>
      <c r="K136" s="295" t="n"/>
    </row>
    <row r="137" ht="15.75" customHeight="1" s="279">
      <c r="A137" s="482" t="inlineStr">
        <is>
          <t>Anya and Ghosts</t>
        </is>
      </c>
      <c r="B137" s="318">
        <f>HYPERLINK("http://codeforces.com/contest/508/problem/C","CF508-D2-C")</f>
        <v/>
      </c>
      <c r="C137" s="418" t="n"/>
      <c r="D137" s="418" t="n"/>
      <c r="E137" s="418" t="n"/>
      <c r="F137" s="418" t="n"/>
      <c r="G137" s="418" t="n"/>
      <c r="H137" s="418" t="n"/>
      <c r="I137" s="404">
        <f>SUM(E137:H137)</f>
        <v/>
      </c>
      <c r="J137" s="295" t="n"/>
      <c r="K137" s="295" t="n"/>
    </row>
    <row r="138" ht="15.75" customHeight="1" s="279">
      <c r="A138" s="482" t="inlineStr">
        <is>
          <t>Square Subsets</t>
        </is>
      </c>
      <c r="B138" s="486">
        <f>HYPERLINK("http://codeforces.com/contest/895/problem/C","CF448-D2-C")</f>
        <v/>
      </c>
      <c r="C138" s="418" t="n"/>
      <c r="D138" s="418" t="n"/>
      <c r="E138" s="418" t="n"/>
      <c r="F138" s="418" t="n"/>
      <c r="G138" s="418" t="n"/>
      <c r="H138" s="418" t="n"/>
      <c r="I138" s="404">
        <f>SUM(E138:H138)</f>
        <v/>
      </c>
      <c r="J138" s="295" t="n"/>
      <c r="K138" s="295" t="n"/>
    </row>
    <row r="139" ht="15.75" customHeight="1" s="279">
      <c r="A139" s="304" t="n"/>
      <c r="C139" s="418" t="n"/>
      <c r="D139" s="418" t="n"/>
      <c r="E139" s="418" t="n"/>
      <c r="F139" s="418" t="n"/>
      <c r="G139" s="418" t="n"/>
      <c r="H139" s="418" t="n"/>
      <c r="I139" s="404">
        <f>SUM(E139:H139)</f>
        <v/>
      </c>
      <c r="J139" s="404" t="n"/>
      <c r="K139" s="404" t="n"/>
    </row>
    <row r="140" ht="15.75" customHeight="1" s="279">
      <c r="A140" s="437" t="inlineStr">
        <is>
          <t>Angry Programmer</t>
        </is>
      </c>
      <c r="B140" s="500">
        <f>HYPERLINK("https://uva.onlinejudge.org/index.php?option=onlinejudge&amp;page=show_problem&amp;problem=2501","UVA 11506")</f>
        <v/>
      </c>
      <c r="C140" s="418" t="n"/>
      <c r="D140" s="418" t="n"/>
      <c r="E140" s="418" t="n"/>
      <c r="F140" s="418" t="n"/>
      <c r="G140" s="418" t="n"/>
      <c r="H140" s="418" t="n"/>
      <c r="I140" s="404">
        <f>SUM(E140:H140)</f>
        <v/>
      </c>
      <c r="J140" s="404" t="n"/>
      <c r="K140" s="404" t="n"/>
      <c r="M140" s="327">
        <f>HYPERLINK("https://github.com/abdullaAshraf/Problem-Solving/blob/master/UVA/11506.cpp","Sol")</f>
        <v/>
      </c>
    </row>
    <row r="141" ht="15.75" customHeight="1" s="279">
      <c r="A141" s="437" t="inlineStr">
        <is>
          <t>The New Rule in Euphomia</t>
        </is>
      </c>
      <c r="B141" s="500">
        <f>HYPERLINK("https://uva.onlinejudge.org/index.php?option=com_onlinejudge&amp;Itemid=8&amp;page=show_problem&amp;problem=1683","UVA 10742")</f>
        <v/>
      </c>
      <c r="C141" s="418" t="n"/>
      <c r="D141" s="418" t="n"/>
      <c r="E141" s="418" t="n"/>
      <c r="F141" s="418" t="n"/>
      <c r="G141" s="418" t="n"/>
      <c r="H141" s="418" t="n"/>
      <c r="I141" s="404">
        <f>SUM(E141:H141)</f>
        <v/>
      </c>
      <c r="J141" s="404" t="n"/>
      <c r="K141" s="404" t="n"/>
      <c r="M141" s="327">
        <f>HYPERLINK("https://github.com/abdullaAshraf/Problem-Solving/blob/master/UVA/10742.cpp","Sol")</f>
        <v/>
      </c>
    </row>
    <row r="142" ht="15.75" customHeight="1" s="279">
      <c r="A142" s="437" t="inlineStr">
        <is>
          <t>Multiples of 3</t>
        </is>
      </c>
      <c r="B142" s="317">
        <f>HYPERLINK("http://www.spoj.com/problems/MULTQ3/","SPOJ MULTQ3")</f>
        <v/>
      </c>
      <c r="C142" s="418" t="n"/>
      <c r="D142" s="418" t="n"/>
      <c r="E142" s="418" t="n"/>
      <c r="F142" s="418" t="n"/>
      <c r="G142" s="418" t="n"/>
      <c r="H142" s="418" t="n"/>
      <c r="I142" s="404">
        <f>SUM(E142:H142)</f>
        <v/>
      </c>
      <c r="J142" s="295" t="n"/>
      <c r="K142" s="295" t="n"/>
      <c r="M142" s="327">
        <f>HYPERLINK("https://github.com/BRAINOOOO/CompetitiveProgramming/blob/master/Spoj/SPOJ%20MULTQ3.Cpp","Sol")</f>
        <v/>
      </c>
    </row>
    <row r="143" ht="15.75" customHeight="1" s="279">
      <c r="A143" s="503">
        <f>HYPERLINK("https://community.topcoder.com/stat?c=problem_statement&amp;pm=11049&amp;rd=14245","TimeTravellingSalesman")</f>
        <v/>
      </c>
      <c r="B143" s="502" t="inlineStr">
        <is>
          <t>SRM492-D2-1000</t>
        </is>
      </c>
      <c r="C143" s="418" t="n"/>
      <c r="D143" s="418" t="n"/>
      <c r="E143" s="418" t="n"/>
      <c r="F143" s="418" t="n"/>
      <c r="G143" s="418" t="n"/>
      <c r="H143" s="418" t="n"/>
      <c r="I143" s="404">
        <f>SUM(E143:H143)</f>
        <v/>
      </c>
      <c r="J143" s="404" t="n"/>
      <c r="K143" s="404" t="n"/>
    </row>
    <row r="144" ht="15.75" customHeight="1" s="279">
      <c r="A144" s="437" t="inlineStr">
        <is>
          <t>March of the Penguins</t>
        </is>
      </c>
      <c r="B144" s="500">
        <f>HYPERLINK("https://uva.onlinejudge.org/index.php?option=com_onlinejudge&amp;Itemid=8&amp;page=show_problem&amp;problem=3277","UVA 12125")</f>
        <v/>
      </c>
      <c r="C144" s="418" t="n"/>
      <c r="D144" s="418" t="n"/>
      <c r="E144" s="418" t="n"/>
      <c r="F144" s="418" t="n"/>
      <c r="G144" s="418" t="n"/>
      <c r="H144" s="418" t="n"/>
      <c r="I144" s="404">
        <f>SUM(E144:H144)</f>
        <v/>
      </c>
      <c r="J144" s="404" t="n"/>
      <c r="K144" s="404" t="n"/>
      <c r="M144" s="327">
        <f>HYPERLINK("https://github.com/mostafa-saad/MyCompetitiveProgramming/blob/master/UVA/UVA_12125.txt","Sol")</f>
        <v/>
      </c>
    </row>
    <row r="145" ht="15.75" customHeight="1" s="279">
      <c r="A145" s="438">
        <f>HYPERLINK("https://community.topcoder.com/stat?c=problem_statement&amp;pm=10580","PeopleYouMayKnow")</f>
        <v/>
      </c>
      <c r="B145" s="502" t="inlineStr">
        <is>
          <t>SRM447-D1-500</t>
        </is>
      </c>
      <c r="C145" s="418" t="n"/>
      <c r="D145" s="418" t="n"/>
      <c r="E145" s="418" t="n"/>
      <c r="F145" s="418" t="n"/>
      <c r="G145" s="418" t="n"/>
      <c r="H145" s="418" t="n"/>
      <c r="I145" s="404">
        <f>SUM(E145:H145)</f>
        <v/>
      </c>
      <c r="J145" s="404" t="n"/>
      <c r="K145" s="404" t="n"/>
      <c r="M145" s="474">
        <f>HYPERLINK("https://github.com/MohamedNabil97/CompetitiveProgramming/blob/master/TopCoder/SRM447-D1-500.cpp","Don't use DP. Check it later in editorial. Sol")</f>
        <v/>
      </c>
    </row>
    <row r="146" ht="15.75" customHeight="1" s="279">
      <c r="A146" s="437" t="inlineStr">
        <is>
          <t>The Game of 31</t>
        </is>
      </c>
      <c r="B146" s="500">
        <f>HYPERLINK("https://uva.onlinejudge.org/index.php?option=com_onlinejudge&amp;Itemid=8&amp;page=show_problem&amp;problem=1519","UVA 10578")</f>
        <v/>
      </c>
      <c r="C146" s="418" t="n"/>
      <c r="D146" s="418" t="n"/>
      <c r="E146" s="418" t="n"/>
      <c r="F146" s="418" t="n"/>
      <c r="G146" s="418" t="n"/>
      <c r="H146" s="418" t="n"/>
      <c r="I146" s="404">
        <f>SUM(E146:H146)</f>
        <v/>
      </c>
      <c r="J146" s="404" t="n"/>
      <c r="K146" s="404" t="n"/>
      <c r="M146" s="474">
        <f>HYPERLINK("https://github.com/abdullaAshraf/Problem-Solving/blob/master/UVA/10578.cpp","Sol")</f>
        <v/>
      </c>
    </row>
    <row r="147" ht="15.75" customHeight="1" s="279">
      <c r="A147" s="437" t="inlineStr">
        <is>
          <t>Can you answer these queries IV</t>
        </is>
      </c>
      <c r="B147" s="500">
        <f>HYPERLINK("http://www.spoj.com/problems/GSS4","SPOJ GSS4")</f>
        <v/>
      </c>
      <c r="C147" s="418" t="n"/>
      <c r="D147" s="418" t="n"/>
      <c r="E147" s="418" t="n"/>
      <c r="F147" s="418" t="n"/>
      <c r="G147" s="418" t="n"/>
      <c r="H147" s="418" t="n"/>
      <c r="I147" s="404">
        <f>SUM(E147:H147)</f>
        <v/>
      </c>
      <c r="J147" s="404" t="n"/>
      <c r="K147" s="404" t="n"/>
      <c r="M147" s="474">
        <f>HYPERLINK("https://github.com/abdullaAshraf/Problem-Solving/blob/master/SPOJ/GSS4.cpp","Sol")</f>
        <v/>
      </c>
    </row>
    <row r="148" ht="15.75" customHeight="1" s="279">
      <c r="A148" s="437" t="inlineStr">
        <is>
          <t>Area</t>
        </is>
      </c>
      <c r="B148" s="500">
        <f>HYPERLINK("acm.tju.edu.cn/toj/showp1011.html","TJU 1011")</f>
        <v/>
      </c>
      <c r="C148" s="418" t="n"/>
      <c r="D148" s="418" t="n"/>
      <c r="E148" s="418" t="n"/>
      <c r="F148" s="418" t="n"/>
      <c r="G148" s="418" t="n"/>
      <c r="H148" s="418" t="n"/>
      <c r="I148" s="404">
        <f>SUM(E148:H148)</f>
        <v/>
      </c>
      <c r="J148" s="404" t="n"/>
      <c r="K148" s="404" t="n"/>
      <c r="M148" s="474">
        <f>HYPERLINK("https://github.com/MedoN11/CompetitiveProgramming/blob/master/TJU/1011.cpp","Sol")</f>
        <v/>
      </c>
    </row>
    <row r="149" ht="15.75" customHeight="1" s="279">
      <c r="A149" s="437" t="inlineStr">
        <is>
          <t>Volatile Kite</t>
        </is>
      </c>
      <c r="B149" s="500">
        <f>HYPERLINK("http://codeforces.com/contest/801/problem/D","CF801-D2-D")</f>
        <v/>
      </c>
      <c r="C149" s="418" t="n"/>
      <c r="D149" s="418" t="n"/>
      <c r="E149" s="418" t="n"/>
      <c r="F149" s="418" t="n"/>
      <c r="G149" s="418" t="n"/>
      <c r="H149" s="418" t="n"/>
      <c r="I149" s="404">
        <f>SUM(E149:H149)</f>
        <v/>
      </c>
      <c r="J149" s="404" t="n"/>
      <c r="K149" s="404" t="n"/>
      <c r="L149" s="417" t="n"/>
      <c r="M149" s="474">
        <f>HYPERLINK("https://github.com/MeGaCrazy/CompetitiveProgramming/blob/ff934b5231a55818d401805db5e0caa0720a1fa4/Codeforces/CF801-D2-D.cpp","Sol")</f>
        <v/>
      </c>
    </row>
    <row r="150" ht="15.75" customHeight="1" s="279">
      <c r="A150" s="437" t="inlineStr">
        <is>
          <t>Antifloyd</t>
        </is>
      </c>
      <c r="B150" s="317">
        <f>HYPERLINK("https://uva.onlinejudge.org/index.php?option=onlinejudge&amp;page=show_problem&amp;problem=1928","UVA 10987")</f>
        <v/>
      </c>
      <c r="C150" s="418" t="n"/>
      <c r="D150" s="418" t="n"/>
      <c r="E150" s="418" t="n"/>
      <c r="F150" s="418" t="n"/>
      <c r="G150" s="418" t="n"/>
      <c r="H150" s="418" t="n"/>
      <c r="I150" s="404">
        <f>SUM(E150:H150)</f>
        <v/>
      </c>
      <c r="J150" s="295" t="n"/>
      <c r="K150" s="295" t="n"/>
      <c r="M150" s="474">
        <f>HYPERLINK("https://github.com/abdullaAshraf/Problem-Solving/blob/master/UVA/10987.cpp","Sol")</f>
        <v/>
      </c>
    </row>
    <row r="151" ht="15.75" customHeight="1" s="279">
      <c r="A151" s="437" t="inlineStr">
        <is>
          <t>Messenger</t>
        </is>
      </c>
      <c r="B151" s="438">
        <f>HYPERLINK("http://codeforces.com/contest/631/problem/D","CF631-D2-D")</f>
        <v/>
      </c>
      <c r="C151" s="418" t="n"/>
      <c r="D151" s="418" t="n"/>
      <c r="E151" s="418" t="n"/>
      <c r="F151" s="418" t="n"/>
      <c r="G151" s="418" t="n"/>
      <c r="H151" s="418" t="n"/>
      <c r="I151" s="404">
        <f>SUM(E151:H151)</f>
        <v/>
      </c>
      <c r="J151" s="295" t="n"/>
      <c r="K151" s="295" t="n"/>
      <c r="L151" s="295" t="n"/>
      <c r="M151" s="295" t="n"/>
    </row>
    <row r="152" ht="15.75" customHeight="1" s="279">
      <c r="A152" s="437" t="n"/>
      <c r="B152" s="437" t="inlineStr">
        <is>
          <t>SRM144-D1-500</t>
        </is>
      </c>
      <c r="C152" s="418" t="n"/>
      <c r="D152" s="418" t="n"/>
      <c r="E152" s="418" t="n"/>
      <c r="F152" s="418" t="n"/>
      <c r="G152" s="418" t="n"/>
      <c r="H152" s="418" t="n"/>
      <c r="I152" s="404">
        <f>SUM(E152:H152)</f>
        <v/>
      </c>
      <c r="J152" s="295" t="n"/>
      <c r="K152" s="295" t="n"/>
      <c r="L152" s="295" t="n"/>
      <c r="M152" s="295" t="n"/>
    </row>
    <row r="153" ht="15.75" customHeight="1" s="279">
      <c r="A153" s="437" t="n"/>
      <c r="B153" s="437" t="inlineStr">
        <is>
          <t>SRM509-D1-500</t>
        </is>
      </c>
      <c r="C153" s="418" t="n"/>
      <c r="D153" s="418" t="n"/>
      <c r="E153" s="418" t="n"/>
      <c r="F153" s="418" t="n"/>
      <c r="G153" s="418" t="n"/>
      <c r="H153" s="418" t="n"/>
      <c r="I153" s="404">
        <f>SUM(E153:H153)</f>
        <v/>
      </c>
      <c r="J153" s="295" t="n"/>
      <c r="K153" s="295" t="n"/>
      <c r="L153" s="295" t="n"/>
      <c r="M153" s="295" t="n"/>
    </row>
    <row r="154" ht="15.75" customHeight="1" s="279">
      <c r="A154" s="437" t="n"/>
      <c r="B154" s="438">
        <f>HYPERLINK("http://codeforces.com/contest/280/problem/C","CF280-D1-C")</f>
        <v/>
      </c>
      <c r="C154" s="418" t="n"/>
      <c r="D154" s="418" t="n"/>
      <c r="E154" s="418" t="n"/>
      <c r="F154" s="418" t="n"/>
      <c r="G154" s="418" t="n"/>
      <c r="H154" s="418" t="n"/>
      <c r="I154" s="404">
        <f>SUM(E154:H154)</f>
        <v/>
      </c>
      <c r="J154" s="295" t="n"/>
      <c r="K154" s="295" t="n"/>
      <c r="L154" s="295" t="n"/>
      <c r="M154" s="295" t="n"/>
    </row>
    <row r="155" ht="15.75" customHeight="1" s="279">
      <c r="A155" s="437" t="n"/>
      <c r="B155" s="438">
        <f>HYPERLINK("http://codeforces.com/contest/110/problem/D","CF110-D2-D")</f>
        <v/>
      </c>
      <c r="C155" s="418" t="n"/>
      <c r="D155" s="418" t="n"/>
      <c r="E155" s="418" t="n"/>
      <c r="F155" s="418" t="n"/>
      <c r="G155" s="418" t="n"/>
      <c r="H155" s="418" t="n"/>
      <c r="I155" s="404">
        <f>SUM(E155:H155)</f>
        <v/>
      </c>
      <c r="J155" s="295" t="n"/>
      <c r="K155" s="295" t="n"/>
      <c r="L155" s="295" t="n"/>
      <c r="M155" s="295" t="n"/>
    </row>
    <row r="156" ht="15.75" customHeight="1" s="279">
      <c r="A156" s="437" t="n"/>
      <c r="B156" s="438">
        <f>HYPERLINK("http://codeforces.com/contest/163/problem/C","CF163-D12-C")</f>
        <v/>
      </c>
      <c r="C156" s="418" t="n"/>
      <c r="D156" s="418" t="n"/>
      <c r="E156" s="418" t="n"/>
      <c r="F156" s="418" t="n"/>
      <c r="G156" s="418" t="n"/>
      <c r="H156" s="418" t="n"/>
      <c r="I156" s="404">
        <f>SUM(E156:H156)</f>
        <v/>
      </c>
      <c r="J156" s="295" t="n"/>
      <c r="K156" s="295" t="n"/>
      <c r="L156" s="295" t="n"/>
      <c r="M156" s="295" t="n"/>
    </row>
    <row r="157" ht="15.75" customHeight="1" s="279">
      <c r="A157" s="437" t="n"/>
      <c r="B157" s="438">
        <f>HYPERLINK("http://codeforces.com/contest/455/problem/B","CF455-D1-B")</f>
        <v/>
      </c>
      <c r="C157" s="418" t="n"/>
      <c r="D157" s="418" t="n"/>
      <c r="E157" s="418" t="n"/>
      <c r="F157" s="418" t="n"/>
      <c r="G157" s="418" t="n"/>
      <c r="H157" s="418" t="n"/>
      <c r="I157" s="404">
        <f>SUM(E157:H157)</f>
        <v/>
      </c>
      <c r="J157" s="295" t="n"/>
      <c r="K157" s="295" t="n"/>
      <c r="L157" s="295" t="n"/>
      <c r="M157" s="295" t="n"/>
    </row>
    <row r="158" ht="15.75" customHeight="1" s="279">
      <c r="A158" s="304" t="n"/>
      <c r="C158" s="418" t="n"/>
      <c r="D158" s="418" t="n"/>
      <c r="E158" s="418" t="n"/>
      <c r="F158" s="418" t="n"/>
      <c r="G158" s="418" t="n"/>
      <c r="H158" s="418" t="n"/>
      <c r="I158" s="404">
        <f>SUM(E158:H158)</f>
        <v/>
      </c>
      <c r="J158" s="404" t="n"/>
      <c r="K158" s="404" t="n"/>
      <c r="L158" s="295" t="n"/>
      <c r="M158" s="295" t="n"/>
    </row>
    <row r="159" ht="15.75" customHeight="1" s="279">
      <c r="A159" s="304" t="inlineStr">
        <is>
          <t>Infinite Maze</t>
        </is>
      </c>
      <c r="B159" s="421">
        <f>HYPERLINK("http://codeforces.com/contest/197/problem/D","CF197-D2-D")</f>
        <v/>
      </c>
      <c r="C159" s="418" t="n"/>
      <c r="D159" s="418" t="n"/>
      <c r="E159" s="418" t="n"/>
      <c r="F159" s="418" t="n"/>
      <c r="G159" s="418" t="n"/>
      <c r="H159" s="418" t="n"/>
      <c r="I159" s="404">
        <f>SUM(E159:H159)</f>
        <v/>
      </c>
      <c r="J159" s="404" t="n"/>
      <c r="K159" s="404" t="n"/>
      <c r="L159" s="295" t="n"/>
      <c r="M159" s="295" t="n"/>
    </row>
    <row r="160" ht="15.75" customHeight="1" s="279">
      <c r="A160" s="304" t="inlineStr">
        <is>
          <t>Jeff and Furik</t>
        </is>
      </c>
      <c r="B160" s="421">
        <f>HYPERLINK("http://codeforces.com/contest/352/problem/D","CF352-D2-D")</f>
        <v/>
      </c>
      <c r="C160" s="418" t="n"/>
      <c r="D160" s="418" t="n"/>
      <c r="E160" s="418" t="n"/>
      <c r="F160" s="418" t="n"/>
      <c r="G160" s="418" t="n"/>
      <c r="H160" s="418" t="n"/>
      <c r="I160" s="404">
        <f>SUM(E160:H160)</f>
        <v/>
      </c>
      <c r="J160" s="404" t="n"/>
      <c r="K160" s="404" t="n"/>
      <c r="L160" s="295" t="n"/>
      <c r="M160" s="474">
        <f>HYPERLINK("https://github.com/BRAINOOOO/CompetitiveProgramming/blob/0577cb43f4a000eca9870ccc375c95381224aed1/CF/CF352-D2-D","Sol")</f>
        <v/>
      </c>
    </row>
    <row r="161" ht="15.75" customHeight="1" s="279">
      <c r="A161" s="304" t="inlineStr">
        <is>
          <t>Sagheer and Kindergarten</t>
        </is>
      </c>
      <c r="B161" s="421">
        <f>HYPERLINK("http://codeforces.com/contest/812/problem/D","CF812-D2-D")</f>
        <v/>
      </c>
      <c r="C161" s="418" t="n"/>
      <c r="D161" s="418" t="n"/>
      <c r="E161" s="418" t="n"/>
      <c r="F161" s="418" t="n"/>
      <c r="G161" s="418" t="n"/>
      <c r="H161" s="418" t="n"/>
      <c r="I161" s="404">
        <f>SUM(E161:H161)</f>
        <v/>
      </c>
      <c r="J161" s="404" t="n"/>
      <c r="K161" s="404" t="n"/>
      <c r="L161" s="295" t="n"/>
      <c r="M161" s="474">
        <f>HYPERLINK("https://github.com/BRAINOOOO/CompetitiveProgramming/blob/master/CF/CF812-D2-D","Sol")</f>
        <v/>
      </c>
    </row>
    <row r="162" ht="15.75" customHeight="1" s="279">
      <c r="A162" s="295" t="inlineStr">
        <is>
          <t>Dispute</t>
        </is>
      </c>
      <c r="B162" s="417">
        <f>HYPERLINK("http://codeforces.com/contest/242/problem/D","CF242-D2-D")</f>
        <v/>
      </c>
      <c r="C162" s="418" t="n"/>
      <c r="D162" s="418" t="n"/>
      <c r="E162" s="418" t="n"/>
      <c r="F162" s="418" t="n"/>
      <c r="G162" s="418" t="n"/>
      <c r="H162" s="418" t="n"/>
      <c r="I162" s="404">
        <f>SUM(E162:H162)</f>
        <v/>
      </c>
      <c r="J162" s="295" t="n"/>
      <c r="K162" s="295" t="n"/>
      <c r="L162" s="295" t="n"/>
      <c r="M162" s="295" t="n"/>
    </row>
    <row r="163" ht="15.75" customHeight="1" s="279">
      <c r="A163" s="295" t="inlineStr">
        <is>
          <t>Remainders Game</t>
        </is>
      </c>
      <c r="B163" s="417">
        <f>HYPERLINK("http://codeforces.com/contest/688/problem/D","CF688-D2-D")</f>
        <v/>
      </c>
      <c r="C163" s="418" t="n"/>
      <c r="D163" s="418" t="n"/>
      <c r="E163" s="418" t="n"/>
      <c r="F163" s="418" t="n"/>
      <c r="G163" s="418" t="n"/>
      <c r="H163" s="418" t="n"/>
      <c r="I163" s="404">
        <f>SUM(E163:H163)</f>
        <v/>
      </c>
      <c r="J163" s="295" t="n"/>
      <c r="K163" s="295" t="n"/>
      <c r="L163" s="295" t="n"/>
      <c r="M163" s="295" t="n"/>
    </row>
    <row r="164" ht="15.75" customHeight="1" s="279">
      <c r="A164" s="295" t="n"/>
      <c r="B164" s="417">
        <f>HYPERLINK("http://codeforces.com/contest/1075/problem/D","CF1075-D2-D")</f>
        <v/>
      </c>
      <c r="C164" s="418" t="n"/>
      <c r="D164" s="418" t="n"/>
      <c r="E164" s="418" t="n"/>
      <c r="F164" s="418" t="n"/>
      <c r="G164" s="418" t="n"/>
      <c r="H164" s="418" t="n"/>
      <c r="I164" s="404">
        <f>SUM(E164:H164)</f>
        <v/>
      </c>
      <c r="J164" s="295" t="n"/>
      <c r="K164" s="295" t="n"/>
      <c r="L164" s="295" t="n"/>
      <c r="M164" s="295" t="n"/>
    </row>
    <row r="165" ht="15.75" customHeight="1" s="279">
      <c r="A165" s="295" t="n"/>
      <c r="B165" s="417">
        <f>HYPERLINK("http://codeforces.com/problemset/problem/1033/D", "CF1033-D12-D")</f>
        <v/>
      </c>
      <c r="C165" s="418" t="n"/>
      <c r="D165" s="418" t="n"/>
      <c r="E165" s="418" t="n"/>
      <c r="F165" s="418" t="n"/>
      <c r="G165" s="418" t="n"/>
      <c r="H165" s="418" t="n"/>
      <c r="I165" s="404">
        <f>SUM(E165:H165)</f>
        <v/>
      </c>
      <c r="J165" s="295" t="n"/>
      <c r="K165" s="295" t="n"/>
      <c r="L165" s="295" t="n"/>
      <c r="M165" s="295" t="n"/>
    </row>
    <row r="166" ht="15.75" customHeight="1" s="279">
      <c r="A166" s="295" t="n"/>
      <c r="B166" s="417">
        <f>HYPERLINK("http://codeforces.com/problemset/problem/442/B","CF442-D1-B")</f>
        <v/>
      </c>
      <c r="C166" s="418" t="n"/>
      <c r="D166" s="418" t="n"/>
      <c r="E166" s="418" t="n"/>
      <c r="F166" s="418" t="n"/>
      <c r="G166" s="418" t="n"/>
      <c r="H166" s="418" t="n"/>
      <c r="I166" s="404">
        <f>SUM(E166:H166)</f>
        <v/>
      </c>
      <c r="J166" s="295" t="n"/>
      <c r="K166" s="295" t="n"/>
      <c r="L166" s="295" t="n"/>
      <c r="M166" s="295" t="n"/>
    </row>
    <row r="167" ht="15.75" customHeight="1" s="279">
      <c r="A167" s="295" t="n"/>
      <c r="B167" s="417">
        <f>HYPERLINK("http://codeforces.com/contest/1025/problem/D","CF1025-D2-D")</f>
        <v/>
      </c>
      <c r="C167" s="418" t="n"/>
      <c r="D167" s="418" t="n"/>
      <c r="E167" s="418" t="n"/>
      <c r="F167" s="418" t="n"/>
      <c r="G167" s="418" t="n"/>
      <c r="H167" s="418" t="n"/>
      <c r="I167" s="404">
        <f>SUM(E167:H167)</f>
        <v/>
      </c>
      <c r="J167" s="295" t="n"/>
      <c r="K167" s="295" t="n"/>
      <c r="L167" s="295" t="n"/>
      <c r="M167" s="295" t="n"/>
    </row>
    <row r="168" ht="15.75" customHeight="1" s="279">
      <c r="A168" s="295" t="n"/>
      <c r="B168" s="417">
        <f>HYPERLINK("http://codeforces.com/contest/1071/problem/B","CF1072-D2-D")</f>
        <v/>
      </c>
      <c r="C168" s="418" t="n"/>
      <c r="D168" s="418" t="n"/>
      <c r="E168" s="418" t="n"/>
      <c r="F168" s="418" t="n"/>
      <c r="G168" s="418" t="n"/>
      <c r="H168" s="418" t="n"/>
      <c r="I168" s="404">
        <f>SUM(E168:H168)</f>
        <v/>
      </c>
      <c r="J168" s="295" t="n"/>
      <c r="K168" s="295" t="n"/>
      <c r="L168" s="295" t="n"/>
      <c r="M168" s="295" t="n"/>
    </row>
  </sheetData>
  <conditionalFormatting sqref="K3:K168">
    <cfRule type="cellIs" rank="0" priority="2" equalAverage="0" operator="equal" aboveAverage="0" dxfId="5" text="" percent="0" bottom="0">
      <formula>"No"</formula>
    </cfRule>
    <cfRule type="cellIs" rank="0" priority="3" equalAverage="0" operator="equal" aboveAverage="0" dxfId="5" text="" percent="0" bottom="0">
      <formula>"no"</formula>
    </cfRule>
    <cfRule type="cellIs" rank="0" priority="4" equalAverage="0" operator="equal" aboveAverage="0" dxfId="5" text="" percent="0" bottom="0">
      <formula>"NO"</formula>
    </cfRule>
  </conditionalFormatting>
  <conditionalFormatting sqref="C3:C168">
    <cfRule type="cellIs" rank="0" priority="5" equalAverage="0" operator="equal" aboveAverage="0" dxfId="0" text="" percent="0" bottom="0">
      <formula>"AC"</formula>
    </cfRule>
    <cfRule type="containsText" rank="0" priority="6" equalAverage="0" operator="containsText" aboveAverage="0" dxfId="1" text="WA" percent="0" bottom="0">
      <formula>NOT(ISERROR(SEARCH("WA",C3)))</formula>
    </cfRule>
    <cfRule type="containsText" rank="0" priority="7" equalAverage="0" operator="containsText" aboveAverage="0" dxfId="2" text="TLE" percent="0" bottom="0">
      <formula>NOT(ISERROR(SEARCH("TLE",C3)))</formula>
    </cfRule>
    <cfRule type="containsText" rank="0" priority="8" equalAverage="0" operator="containsText" aboveAverage="0" dxfId="3" text="RTE" percent="0" bottom="0">
      <formula>NOT(ISERROR(SEARCH("RTE",C3)))</formula>
    </cfRule>
    <cfRule type="containsText" rank="0" priority="9" equalAverage="0" operator="containsText" aboveAverage="0" dxfId="4" text="CS" percent="0" bottom="0">
      <formula>NOT(ISERROR(SEARCH("CS",C3)))</formula>
    </cfRule>
  </conditionalFormatting>
  <conditionalFormatting sqref="C10:C168">
    <cfRule type="containsText" rank="0" priority="10" equalAverage="0" operator="containsText" aboveAverage="0" dxfId="1" text="WA" percent="0" bottom="0">
      <formula>NOT(ISERROR(SEARCH("WA",C10)))</formula>
    </cfRule>
    <cfRule type="containsText" rank="0" priority="11" equalAverage="0" operator="containsText" aboveAverage="0" dxfId="2" text="TLE" percent="0" bottom="0">
      <formula>NOT(ISERROR(SEARCH("TLE",C10)))</formula>
    </cfRule>
    <cfRule type="containsText" rank="0" priority="12" equalAverage="0" operator="containsText" aboveAverage="0" dxfId="3" text="RTE" percent="0" bottom="0">
      <formula>NOT(ISERROR(SEARCH("RTE",C10)))</formula>
    </cfRule>
    <cfRule type="containsText" rank="0" priority="13" equalAverage="0" operator="containsText" aboveAverage="0" dxfId="4" text="CS" percent="0" bottom="0">
      <formula>NOT(ISERROR(SEARCH("CS",C10)))</formula>
    </cfRule>
  </conditionalFormatting>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Q981"/>
  <sheetViews>
    <sheetView showFormulas="0" showGridLines="1" showRowColHeaders="1" showZeros="1" rightToLeft="0" tabSelected="0"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baseColWidth="8" defaultColWidth="15.12890625" defaultRowHeight="15.75" zeroHeight="0" outlineLevelRow="0"/>
  <cols>
    <col width="13.75" customWidth="1" style="278" min="1" max="1"/>
    <col width="17.38" customWidth="1" style="278" min="2" max="2"/>
    <col width="6" customWidth="1" style="278" min="3" max="3"/>
    <col width="6.63" customWidth="1" style="278" min="4" max="4"/>
    <col width="7.38" customWidth="1" style="278" min="5" max="5"/>
    <col width="8.130000000000001" customWidth="1" style="278" min="6" max="6"/>
    <col width="8.75" customWidth="1" style="278" min="7" max="7"/>
    <col width="7.5" customWidth="1" style="278" min="8" max="9"/>
    <col width="8.75" customWidth="1" style="278" min="10" max="12"/>
    <col width="35.38" customWidth="1" style="278" min="13" max="13"/>
    <col width="31.63" customWidth="1" style="278" min="14" max="14"/>
    <col width="7.88" customWidth="1" style="278" min="15" max="15"/>
    <col width="4.63" customWidth="1" style="278" min="16" max="16"/>
    <col width="6.38" customWidth="1" style="278" min="17" max="17"/>
  </cols>
  <sheetData>
    <row r="1" ht="45.75" customHeight="1" s="279">
      <c r="A1" s="504" t="inlineStr">
        <is>
          <t>ff</t>
        </is>
      </c>
      <c r="B1" s="505" t="inlineStr">
        <is>
          <t>Problem Code</t>
        </is>
      </c>
      <c r="C1" s="506" t="inlineStr">
        <is>
          <t>Status</t>
        </is>
      </c>
      <c r="D1" s="506" t="inlineStr">
        <is>
          <t>Submit Count</t>
        </is>
      </c>
      <c r="E1" s="506" t="inlineStr">
        <is>
          <t>Reading Time(m)</t>
        </is>
      </c>
      <c r="F1" s="506" t="inlineStr">
        <is>
          <t>Thinking Time(m)</t>
        </is>
      </c>
      <c r="G1" s="506" t="inlineStr">
        <is>
          <t>Coding Time(m)</t>
        </is>
      </c>
      <c r="H1" s="506" t="inlineStr">
        <is>
          <t>Debug Time(m)</t>
        </is>
      </c>
      <c r="I1" s="506" t="inlineStr">
        <is>
          <t>Total Time(m)</t>
        </is>
      </c>
      <c r="J1" s="506" t="inlineStr">
        <is>
          <t>Problem Level /10</t>
        </is>
      </c>
      <c r="K1" s="506" t="inlineStr">
        <is>
          <t>By yourself?</t>
        </is>
      </c>
      <c r="L1" s="506" t="inlineStr">
        <is>
          <t>Category</t>
        </is>
      </c>
      <c r="M1" s="507" t="inlineStr">
        <is>
          <t>1-2 line Comments about your approach
 is interesting?</t>
        </is>
      </c>
      <c r="N1" s="508" t="inlineStr">
        <is>
          <t>Mostafa Category</t>
        </is>
      </c>
      <c r="O1" s="508" t="inlineStr">
        <is>
          <t>Category 
Code</t>
        </is>
      </c>
      <c r="P1" s="508" t="inlineStr">
        <is>
          <t>Level</t>
        </is>
      </c>
      <c r="Q1" s="508" t="inlineStr">
        <is>
          <t>Quality</t>
        </is>
      </c>
    </row>
    <row r="2" ht="15.75" customHeight="1" s="279">
      <c r="A2" s="509" t="n"/>
      <c r="B2" s="324" t="inlineStr">
        <is>
          <t>AC Averages =&gt;</t>
        </is>
      </c>
      <c r="C2" s="405">
        <f>COUNTIF(C8:C11369, "AC")</f>
        <v/>
      </c>
      <c r="D2" s="405">
        <f>ROUND(SUMPRODUCT(D8:D11369,INT(eq(C8:C11369, "AC")))/MAX(1, C2),1)</f>
        <v/>
      </c>
      <c r="E2" s="405">
        <f>ROUND(SUMPRODUCT(E8:E11391,INT(eq(C8:C11391, "AC")))/MAX(1, C2),0)</f>
        <v/>
      </c>
      <c r="F2" s="405">
        <f>ROUND(SUMPRODUCT(F8:F11394,INT(eq(C8:C11394, "AC")))/MAX(1, C2),0)</f>
        <v/>
      </c>
      <c r="G2" s="405">
        <f>ROUND(SUMPRODUCT(G8:G11394,INT(eq(C8:C11394, "AC")))/MAX(1, C2),0)</f>
        <v/>
      </c>
      <c r="H2" s="405">
        <f>ROUND(SUMPRODUCT(H8:H11394,INT(eq(C8:C11394, "AC")))/MAX(1, C2),0)</f>
        <v/>
      </c>
      <c r="I2" s="405">
        <f>ROUND(SUMPRODUCT(I8:I11366,INT(eq(C8:C11366, "AC")))/MAX(1, C2),0)</f>
        <v/>
      </c>
      <c r="J2" s="405">
        <f>ROUND(SUMPRODUCT(J8:J11364,INT(eq(C8:C11364, "AC")))/MAX(1, C2),1)</f>
        <v/>
      </c>
      <c r="K2" s="405">
        <f>SUMPRODUCT(eq(K8:K11369, "YES"),INT(eq(C8:C11394, "AC")))</f>
        <v/>
      </c>
      <c r="L2" s="405">
        <f>IFERROR(__xludf.dummyfunction("COUNTA(FILTER(C8:C10861, NOT(REGEXMATCH(C8:C10861, ""AC""))))"),0)</f>
        <v/>
      </c>
      <c r="M2" s="406">
        <f>IFERROR(__xludf.dummyfunction("COUNTA(FILTER(C8:C10855, NOT(REGEXMATCH(C8:C10855, ""AC""))))"),0)</f>
        <v/>
      </c>
      <c r="N2" s="406" t="n"/>
      <c r="O2" s="406" t="n"/>
      <c r="P2" s="406" t="n"/>
      <c r="Q2" s="406" t="n"/>
    </row>
    <row r="3" ht="23.25" customHeight="1" s="279">
      <c r="A3" s="420" t="n"/>
      <c r="B3" s="420" t="n"/>
      <c r="C3" s="510" t="inlineStr">
        <is>
          <t>This page has the SAME problems in (CF-A to CF-D3). It has problems categories, levels and quality (last 4 columns)</t>
        </is>
      </c>
      <c r="N3" s="488" t="n"/>
      <c r="O3" s="488" t="n"/>
      <c r="P3" s="488" t="n"/>
    </row>
    <row r="4" ht="15.75" customHeight="1" s="279">
      <c r="A4" s="420" t="n"/>
      <c r="B4" s="420" t="n"/>
      <c r="C4" s="510" t="inlineStr">
        <is>
          <t>Some trainees don't like to train using Blind Order style (CF-A to CF-D3) and prefer Topics-Based style</t>
        </is>
      </c>
      <c r="N4" s="488" t="n"/>
      <c r="O4" s="488" t="n"/>
      <c r="P4" s="488" t="n"/>
    </row>
    <row r="5" ht="23.25" customHeight="1" s="279">
      <c r="A5" s="420" t="n"/>
      <c r="B5" s="420" t="n"/>
      <c r="C5" s="510" t="inlineStr">
        <is>
          <t>This sheet page is another training style. Determine a category, go ahead and solve in order. Read Info Page. Read end of this page.</t>
        </is>
      </c>
      <c r="N5" s="488" t="n"/>
      <c r="O5" s="488" t="n"/>
      <c r="P5" s="488" t="n"/>
    </row>
    <row r="6" ht="15.75" customHeight="1" s="279">
      <c r="A6" s="420" t="n"/>
      <c r="B6" s="420" t="n"/>
      <c r="C6" s="308" t="n"/>
      <c r="D6" s="308" t="n"/>
      <c r="E6" s="308" t="n"/>
      <c r="F6" s="308" t="n"/>
      <c r="G6" s="308" t="n"/>
      <c r="H6" s="308" t="n"/>
      <c r="I6" s="308" t="n"/>
      <c r="J6" s="308" t="n"/>
      <c r="K6" s="308" t="n"/>
      <c r="L6" s="308" t="n"/>
      <c r="M6" s="414" t="n"/>
      <c r="N6" s="488" t="n"/>
      <c r="O6" s="488" t="n"/>
      <c r="P6" s="488" t="n"/>
    </row>
    <row r="7" ht="15.75" customHeight="1" s="279">
      <c r="A7" s="420" t="inlineStr">
        <is>
          <t>Vanya and Fence</t>
        </is>
      </c>
      <c r="B7" s="475">
        <f>HYPERLINK("http://codeforces.com/contest/677/problem/A","CF677-D2-A")</f>
        <v/>
      </c>
      <c r="C7" s="418" t="n"/>
      <c r="D7" s="418" t="n"/>
      <c r="E7" s="418" t="n"/>
      <c r="F7" s="418" t="n"/>
      <c r="G7" s="418" t="n"/>
      <c r="H7" s="418" t="n"/>
      <c r="I7" s="404">
        <f>SUM(E7:H7)</f>
        <v/>
      </c>
      <c r="J7" s="404" t="n"/>
      <c r="K7" s="404" t="n"/>
      <c r="L7" s="404" t="n"/>
      <c r="M7" s="422">
        <f>HYPERLINK("http://codeforces.com/contest/677/submission/18185361","C++ Solution Example")</f>
        <v/>
      </c>
      <c r="N7" s="511" t="inlineStr">
        <is>
          <t>adhoc, NA</t>
        </is>
      </c>
      <c r="O7" s="488" t="n">
        <v>1</v>
      </c>
      <c r="P7" s="488" t="n">
        <v>0.5</v>
      </c>
    </row>
    <row r="8" ht="15.75" customHeight="1" s="279">
      <c r="A8" s="420" t="inlineStr">
        <is>
          <t>Anton and Danik</t>
        </is>
      </c>
      <c r="B8" s="475">
        <f>HYPERLINK("http://codeforces.com/contest/734/problem/A","CF734-D2-A")</f>
        <v/>
      </c>
      <c r="C8" s="418" t="n"/>
      <c r="D8" s="418" t="n"/>
      <c r="E8" s="418" t="n"/>
      <c r="F8" s="418" t="n"/>
      <c r="G8" s="418" t="n"/>
      <c r="H8" s="418" t="n"/>
      <c r="I8" s="404">
        <f>SUM(E8:H8)</f>
        <v/>
      </c>
      <c r="J8" s="404" t="n"/>
      <c r="K8" s="404" t="n"/>
      <c r="L8" s="404" t="n"/>
      <c r="M8" s="493">
        <f>HYPERLINK("http://codeforces.com/blog/entry/48397","This is from Round 379. Here is the editorial")</f>
        <v/>
      </c>
      <c r="N8" s="511" t="inlineStr">
        <is>
          <t>adhoc, NA</t>
        </is>
      </c>
      <c r="O8" s="488" t="n">
        <v>1</v>
      </c>
      <c r="P8" s="488" t="n">
        <v>0.6</v>
      </c>
    </row>
    <row r="9" ht="15.75" customHeight="1" s="279">
      <c r="A9" s="420" t="inlineStr">
        <is>
          <t>Petya and Strings</t>
        </is>
      </c>
      <c r="B9" s="475">
        <f>HYPERLINK("http://codeforces.com/contest/112/problem/A","CF112-D2-A")</f>
        <v/>
      </c>
      <c r="C9" s="418" t="n"/>
      <c r="D9" s="418" t="n"/>
      <c r="E9" s="418" t="n"/>
      <c r="F9" s="418" t="n"/>
      <c r="G9" s="418" t="n"/>
      <c r="H9" s="418" t="n"/>
      <c r="I9" s="404">
        <f>SUM(E9:H9)</f>
        <v/>
      </c>
      <c r="J9" s="418" t="n"/>
      <c r="K9" s="404" t="n"/>
      <c r="L9" s="418" t="n"/>
      <c r="M9" s="475">
        <f>HYPERLINK("https://www.youtube.com/watch?v=Sp4zWrDvGrk","Video Solution - Solver to be (Java)")</f>
        <v/>
      </c>
      <c r="N9" s="511" t="inlineStr">
        <is>
          <t>adhoc, NA</t>
        </is>
      </c>
      <c r="O9" s="488" t="n">
        <v>1</v>
      </c>
      <c r="P9" s="488" t="n">
        <v>1</v>
      </c>
    </row>
    <row r="10" ht="15.75" customHeight="1" s="279">
      <c r="A10" s="420" t="inlineStr">
        <is>
          <t>Is your horseshoe on the other hoof?</t>
        </is>
      </c>
      <c r="B10" s="475">
        <f>HYPERLINK("http://codeforces.com/contest/228/problem/A","CF228-D2-A")</f>
        <v/>
      </c>
      <c r="C10" s="418" t="n"/>
      <c r="D10" s="418" t="n"/>
      <c r="E10" s="418" t="n"/>
      <c r="F10" s="418" t="n"/>
      <c r="G10" s="418" t="n"/>
      <c r="H10" s="418" t="n"/>
      <c r="I10" s="404">
        <f>SUM(E10:H10)</f>
        <v/>
      </c>
      <c r="J10" s="404" t="n"/>
      <c r="K10" s="404" t="n"/>
      <c r="L10" s="404" t="n"/>
      <c r="M10" s="422">
        <f>HYPERLINK("https://www.youtube.com/watch?v=O0zvnXeQis4&amp;app=desktop#_=_","Video Solution - Eng Ahmead Raafat (Python)")</f>
        <v/>
      </c>
      <c r="N10" s="511" t="inlineStr">
        <is>
          <t>adhoc, NA</t>
        </is>
      </c>
      <c r="O10" s="488" t="n">
        <v>1</v>
      </c>
      <c r="P10" s="488" t="n">
        <v>1</v>
      </c>
    </row>
    <row r="11" ht="15.75" customHeight="1" s="279">
      <c r="A11" s="420" t="inlineStr">
        <is>
          <t>Team</t>
        </is>
      </c>
      <c r="B11" s="475">
        <f>HYPERLINK("http://codeforces.com/contest/231/problem/A","CF231-D2-A")</f>
        <v/>
      </c>
      <c r="C11" s="418" t="n"/>
      <c r="D11" s="418" t="n"/>
      <c r="E11" s="418" t="n"/>
      <c r="F11" s="418" t="n"/>
      <c r="G11" s="418" t="n"/>
      <c r="H11" s="418" t="n"/>
      <c r="I11" s="404">
        <f>SUM(E11:H11)</f>
        <v/>
      </c>
      <c r="J11" s="404" t="n"/>
      <c r="K11" s="404" t="n"/>
      <c r="L11" s="404" t="n"/>
      <c r="M11" s="422">
        <f>HYPERLINK("https://www.youtube.com/watch?v=P73Mv_GG_PY","Video Solution - Eng Youssef Ali")</f>
        <v/>
      </c>
      <c r="N11" s="511" t="inlineStr">
        <is>
          <t>adhoc, NA</t>
        </is>
      </c>
      <c r="O11" s="488" t="n">
        <v>1</v>
      </c>
      <c r="P11" s="488" t="n">
        <v>1</v>
      </c>
    </row>
    <row r="12" ht="15.75" customHeight="1" s="279">
      <c r="A12" s="420" t="inlineStr">
        <is>
          <t>Boy or Girl</t>
        </is>
      </c>
      <c r="B12" s="475">
        <f>HYPERLINK("http://codeforces.com/contest/236/problem/A","CF236-D2-A")</f>
        <v/>
      </c>
      <c r="C12" s="418" t="n"/>
      <c r="D12" s="418" t="n"/>
      <c r="E12" s="418" t="n"/>
      <c r="F12" s="418" t="n"/>
      <c r="G12" s="418" t="n"/>
      <c r="H12" s="418" t="n"/>
      <c r="I12" s="404">
        <f>SUM(E12:H12)</f>
        <v/>
      </c>
      <c r="J12" s="418" t="n"/>
      <c r="K12" s="404" t="n"/>
      <c r="L12" s="418" t="n"/>
      <c r="M12" s="475">
        <f>HYPERLINK("https://www.youtube.com/watch?v=AOOmuJXMyHQ","Video Solution - Solver to be (Java)")</f>
        <v/>
      </c>
      <c r="N12" s="511" t="inlineStr">
        <is>
          <t>adhoc, NA</t>
        </is>
      </c>
      <c r="O12" s="488" t="n">
        <v>1</v>
      </c>
      <c r="P12" s="488" t="n">
        <v>1</v>
      </c>
    </row>
    <row r="13" ht="15.75" customHeight="1" s="279">
      <c r="A13" s="420" t="inlineStr">
        <is>
          <t>Beautiful Matrix</t>
        </is>
      </c>
      <c r="B13" s="475">
        <f>HYPERLINK("http://codeforces.com/contest/263/problem/A","CF263-D2-A")</f>
        <v/>
      </c>
      <c r="C13" s="418" t="n"/>
      <c r="D13" s="418" t="n"/>
      <c r="E13" s="418" t="n"/>
      <c r="F13" s="418" t="n"/>
      <c r="G13" s="418" t="n"/>
      <c r="H13" s="418" t="n"/>
      <c r="I13" s="404">
        <f>SUM(E13:H13)</f>
        <v/>
      </c>
      <c r="J13" s="404" t="n"/>
      <c r="K13" s="404" t="n"/>
      <c r="L13" s="404" t="n"/>
      <c r="M13" s="422">
        <f>HYPERLINK("https://www.youtube.com/watch?v=FU4thrvEvKg","Video Solution - Eng Samed Hajajla")</f>
        <v/>
      </c>
      <c r="N13" s="511" t="inlineStr">
        <is>
          <t>adhoc, NA</t>
        </is>
      </c>
      <c r="O13" s="488" t="n">
        <v>1</v>
      </c>
      <c r="P13" s="488" t="n">
        <v>1</v>
      </c>
    </row>
    <row r="14" ht="15.75" customHeight="1" s="279">
      <c r="A14" s="420" t="inlineStr">
        <is>
          <t>Colorful Stones (Simplified Edition)</t>
        </is>
      </c>
      <c r="B14" s="475">
        <f>HYPERLINK("http://codeforces.com/contest/265/problem/A","CF265-D2-A")</f>
        <v/>
      </c>
      <c r="C14" s="418" t="n"/>
      <c r="D14" s="418" t="n"/>
      <c r="E14" s="418" t="n"/>
      <c r="F14" s="418" t="n"/>
      <c r="G14" s="418" t="n"/>
      <c r="H14" s="418" t="n"/>
      <c r="I14" s="404">
        <f>SUM(E14:H14)</f>
        <v/>
      </c>
      <c r="J14" s="404" t="n"/>
      <c r="K14" s="404" t="n"/>
      <c r="L14" s="404" t="n"/>
      <c r="M14" s="422">
        <f>HYPERLINK("https://www.youtube.com/watch?v=ol_mjArjBCk","Video Solution - Eng Ahmead Raafat (Python)")</f>
        <v/>
      </c>
      <c r="N14" s="511" t="inlineStr">
        <is>
          <t>adhoc, NA</t>
        </is>
      </c>
      <c r="O14" s="488" t="n">
        <v>1</v>
      </c>
      <c r="P14" s="488" t="n">
        <v>1</v>
      </c>
    </row>
    <row r="15" ht="15.75" customHeight="1" s="279">
      <c r="A15" s="420" t="inlineStr">
        <is>
          <t>Stones on the Table</t>
        </is>
      </c>
      <c r="B15" s="475">
        <f>HYPERLINK("http://codeforces.com/contest/266/problem/A","CF266-D2-A")</f>
        <v/>
      </c>
      <c r="C15" s="418" t="n"/>
      <c r="D15" s="418" t="n"/>
      <c r="E15" s="418" t="n"/>
      <c r="F15" s="418" t="n"/>
      <c r="G15" s="418" t="n"/>
      <c r="H15" s="418" t="n"/>
      <c r="I15" s="404">
        <f>SUM(E15:H15)</f>
        <v/>
      </c>
      <c r="J15" s="404" t="n"/>
      <c r="K15" s="404" t="n"/>
      <c r="L15" s="404" t="n"/>
      <c r="M15" s="422">
        <f>HYPERLINK("https://www.youtube.com/watch?v=3akdDnmPwOY&amp;feature=youtu.be","Video Solution - Eng Ahmead Raafat (Python)")</f>
        <v/>
      </c>
      <c r="N15" s="511" t="inlineStr">
        <is>
          <t>adhoc, NA</t>
        </is>
      </c>
      <c r="O15" s="488" t="n">
        <v>1</v>
      </c>
      <c r="P15" s="488" t="n">
        <v>1</v>
      </c>
    </row>
    <row r="16" ht="15.75" customHeight="1" s="279">
      <c r="A16" s="420" t="inlineStr">
        <is>
          <t>Games</t>
        </is>
      </c>
      <c r="B16" s="475">
        <f>HYPERLINK("http://codeforces.com/contest/268/problem/A","CF268-D2-A")</f>
        <v/>
      </c>
      <c r="C16" s="418" t="n"/>
      <c r="D16" s="418" t="n"/>
      <c r="E16" s="418" t="n"/>
      <c r="F16" s="418" t="n"/>
      <c r="G16" s="418" t="n"/>
      <c r="H16" s="418" t="n"/>
      <c r="I16" s="404">
        <f>SUM(E16:H16)</f>
        <v/>
      </c>
      <c r="J16" s="404" t="n"/>
      <c r="K16" s="404" t="n"/>
      <c r="L16" s="404" t="n"/>
      <c r="M16" s="422">
        <f>HYPERLINK("https://www.youtube.com/watch?v=lFt2GuQtmSs","Video Solution - Eng Yahia Ashraf")</f>
        <v/>
      </c>
      <c r="N16" s="511" t="inlineStr">
        <is>
          <t>adhoc, NA</t>
        </is>
      </c>
      <c r="O16" s="488" t="n">
        <v>1</v>
      </c>
      <c r="P16" s="488" t="n">
        <v>1</v>
      </c>
    </row>
    <row r="17" ht="15.75" customHeight="1" s="279">
      <c r="A17" s="420" t="inlineStr">
        <is>
          <t>Word Capitalization</t>
        </is>
      </c>
      <c r="B17" s="475">
        <f>HYPERLINK("http://codeforces.com/contest/281/problem/A","CF281-D2-A")</f>
        <v/>
      </c>
      <c r="C17" s="418" t="n"/>
      <c r="D17" s="418" t="n"/>
      <c r="E17" s="418" t="n"/>
      <c r="F17" s="418" t="n"/>
      <c r="G17" s="418" t="n"/>
      <c r="H17" s="418" t="n"/>
      <c r="I17" s="404">
        <f>SUM(E17:H17)</f>
        <v/>
      </c>
      <c r="J17" s="418" t="n"/>
      <c r="K17" s="404" t="n"/>
      <c r="L17" s="418" t="n"/>
      <c r="M17" s="421">
        <f>HYPERLINK("https://www.youtube.com/watch?v=GctpZIJ8xBA","Video Solution - Solver to be (Java)")</f>
        <v/>
      </c>
      <c r="N17" s="511" t="inlineStr">
        <is>
          <t>adhoc, NA</t>
        </is>
      </c>
      <c r="O17" s="488" t="n">
        <v>1</v>
      </c>
      <c r="P17" s="488" t="n">
        <v>1</v>
      </c>
    </row>
    <row r="18" ht="15.75" customHeight="1" s="279">
      <c r="A18" s="420" t="inlineStr">
        <is>
          <t>Magnets</t>
        </is>
      </c>
      <c r="B18" s="475">
        <f>HYPERLINK("http://codeforces.com/contest/344/problem/A","CF344-D2-A")</f>
        <v/>
      </c>
      <c r="C18" s="418" t="n"/>
      <c r="D18" s="418" t="n"/>
      <c r="E18" s="418" t="n"/>
      <c r="F18" s="418" t="n"/>
      <c r="G18" s="418" t="n"/>
      <c r="H18" s="418" t="n"/>
      <c r="I18" s="404">
        <f>SUM(E18:H18)</f>
        <v/>
      </c>
      <c r="J18" s="418" t="n"/>
      <c r="K18" s="404" t="n"/>
      <c r="L18" s="418" t="n"/>
      <c r="M18" s="421">
        <f>HYPERLINK("https://www.youtube.com/watch?v=7o7lZTKFzp0","Video Solution - Solver to be (Java)")</f>
        <v/>
      </c>
      <c r="N18" s="511" t="inlineStr">
        <is>
          <t>adhoc, NA</t>
        </is>
      </c>
      <c r="O18" s="488" t="n">
        <v>1</v>
      </c>
      <c r="P18" s="488" t="n">
        <v>1</v>
      </c>
    </row>
    <row r="19" ht="15.75" customHeight="1" s="279">
      <c r="A19" s="420" t="inlineStr">
        <is>
          <t>Sereja and Dima</t>
        </is>
      </c>
      <c r="B19" s="475">
        <f>HYPERLINK("http://codeforces.com/contest/381/problem/A","CF381-D2-A")</f>
        <v/>
      </c>
      <c r="C19" s="418" t="n"/>
      <c r="D19" s="418" t="n"/>
      <c r="E19" s="418" t="n"/>
      <c r="F19" s="418" t="n"/>
      <c r="G19" s="418" t="n"/>
      <c r="H19" s="418" t="n"/>
      <c r="I19" s="404">
        <f>SUM(E19:H19)</f>
        <v/>
      </c>
      <c r="J19" s="418" t="n"/>
      <c r="K19" s="404" t="n"/>
      <c r="L19" s="418" t="n"/>
      <c r="M19" s="421">
        <f>HYPERLINK("https://www.youtube.com/watch?v=XgJ0DS3r_KE","Video Solution - Solver to be (Java)")</f>
        <v/>
      </c>
      <c r="N19" s="511" t="inlineStr">
        <is>
          <t>adhoc, NA</t>
        </is>
      </c>
      <c r="O19" s="488" t="n">
        <v>1</v>
      </c>
      <c r="P19" s="488" t="n">
        <v>1</v>
      </c>
    </row>
    <row r="20" ht="15.75" customHeight="1" s="279">
      <c r="A20" s="420" t="inlineStr">
        <is>
          <t>Gravity Flip</t>
        </is>
      </c>
      <c r="B20" s="475">
        <f>HYPERLINK("http://codeforces.com/contest/405/problem/A","CF405-D2-A")</f>
        <v/>
      </c>
      <c r="C20" s="418" t="n"/>
      <c r="D20" s="418" t="n"/>
      <c r="E20" s="418" t="n"/>
      <c r="F20" s="418" t="n"/>
      <c r="G20" s="418" t="n"/>
      <c r="H20" s="418" t="n"/>
      <c r="I20" s="404">
        <f>SUM(E20:H20)</f>
        <v/>
      </c>
      <c r="J20" s="418" t="n"/>
      <c r="K20" s="404" t="n"/>
      <c r="L20" s="418" t="n"/>
      <c r="M20" s="421">
        <f>HYPERLINK("https://www.youtube.com/watch?v=HNe9QW-1MJI","Video Solution - Eng John Gamal")</f>
        <v/>
      </c>
      <c r="N20" s="511" t="inlineStr">
        <is>
          <t>adhoc, NA</t>
        </is>
      </c>
      <c r="O20" s="488" t="n">
        <v>1</v>
      </c>
      <c r="P20" s="488" t="n">
        <v>1</v>
      </c>
    </row>
    <row r="21" ht="15.75" customHeight="1" s="279">
      <c r="A21" s="420" t="inlineStr">
        <is>
          <t>Police Recruits</t>
        </is>
      </c>
      <c r="B21" s="475">
        <f>HYPERLINK("http://codeforces.com/contest/427/problem/A","CF427-D2-A")</f>
        <v/>
      </c>
      <c r="C21" s="418" t="n"/>
      <c r="D21" s="418" t="n"/>
      <c r="E21" s="418" t="n"/>
      <c r="F21" s="418" t="n"/>
      <c r="G21" s="418" t="n"/>
      <c r="H21" s="418" t="n"/>
      <c r="I21" s="404">
        <f>SUM(E21:H21)</f>
        <v/>
      </c>
      <c r="J21" s="404" t="n"/>
      <c r="K21" s="404" t="n"/>
      <c r="L21" s="404" t="n"/>
      <c r="M21" s="422">
        <f>HYPERLINK("https://www.youtube.com/watch?v=PECOLs3YWR0&amp;feature=youtu.be","Video Solution - Eng Ahmead Raafat (Python)")</f>
        <v/>
      </c>
      <c r="N21" s="511" t="inlineStr">
        <is>
          <t>adhoc, NA</t>
        </is>
      </c>
      <c r="O21" s="488" t="n">
        <v>1</v>
      </c>
      <c r="P21" s="488" t="n">
        <v>1</v>
      </c>
    </row>
    <row r="22" ht="15.75" customHeight="1" s="279">
      <c r="A22" s="420" t="inlineStr">
        <is>
          <t>Black Square</t>
        </is>
      </c>
      <c r="B22" s="475">
        <f>HYPERLINK("http://codeforces.com/contest/431/problem/A","CF431-D2-A")</f>
        <v/>
      </c>
      <c r="C22" s="418" t="n"/>
      <c r="D22" s="418" t="n"/>
      <c r="E22" s="418" t="n"/>
      <c r="F22" s="418" t="n"/>
      <c r="G22" s="418" t="n"/>
      <c r="H22" s="418" t="n"/>
      <c r="I22" s="404">
        <f>SUM(E22:H22)</f>
        <v/>
      </c>
      <c r="J22" s="404" t="n"/>
      <c r="K22" s="404" t="n"/>
      <c r="L22" s="404" t="n"/>
      <c r="M22" s="422">
        <f>HYPERLINK("https://www.youtube.com/watch?v=mJYiMoX4t0k","Video Solution - Eng Ahmead Raafat (Python)")</f>
        <v/>
      </c>
      <c r="N22" s="511" t="inlineStr">
        <is>
          <t>adhoc, NA</t>
        </is>
      </c>
      <c r="O22" s="488" t="n">
        <v>1</v>
      </c>
      <c r="P22" s="488" t="n">
        <v>1</v>
      </c>
    </row>
    <row r="23" ht="15.75" customHeight="1" s="279">
      <c r="A23" s="420" t="inlineStr">
        <is>
          <t>Word</t>
        </is>
      </c>
      <c r="B23" s="475">
        <f>HYPERLINK("http://codeforces.com/contest/59/problem/A","CF59-D2-A")</f>
        <v/>
      </c>
      <c r="C23" s="418" t="n"/>
      <c r="D23" s="418" t="n"/>
      <c r="E23" s="418" t="n"/>
      <c r="F23" s="418" t="n"/>
      <c r="G23" s="418" t="n"/>
      <c r="H23" s="418" t="n"/>
      <c r="I23" s="404">
        <f>SUM(E23:H23)</f>
        <v/>
      </c>
      <c r="J23" s="418" t="n"/>
      <c r="K23" s="404" t="n"/>
      <c r="L23" s="418" t="n"/>
      <c r="M23" s="475">
        <f>HYPERLINK("https://www.youtube.com/watch?v=gW8YOQbMdDI","Video Solution - Solver to be (Java)")</f>
        <v/>
      </c>
      <c r="N23" s="511" t="inlineStr">
        <is>
          <t>adhoc, NA</t>
        </is>
      </c>
      <c r="O23" s="488" t="n">
        <v>1</v>
      </c>
      <c r="P23" s="488" t="n">
        <v>1</v>
      </c>
    </row>
    <row r="24" ht="15.75" customHeight="1" s="279">
      <c r="A24" s="420" t="inlineStr">
        <is>
          <t>Night at the Museum</t>
        </is>
      </c>
      <c r="B24" s="475">
        <f>HYPERLINK("http://codeforces.com/contest/731/problem/A","CF731-D2-A")</f>
        <v/>
      </c>
      <c r="C24" s="418" t="n"/>
      <c r="D24" s="418" t="n"/>
      <c r="E24" s="418" t="n"/>
      <c r="F24" s="418" t="n"/>
      <c r="G24" s="418" t="n"/>
      <c r="H24" s="418" t="n"/>
      <c r="I24" s="404">
        <f>SUM(E24:H24)</f>
        <v/>
      </c>
      <c r="J24" s="404" t="n"/>
      <c r="K24" s="404" t="n"/>
      <c r="L24" s="404" t="n"/>
      <c r="M24" s="422">
        <f>HYPERLINK("https://www.youtube.com/watch?v=pBhXYZKAFTM","Video Solution - Eng Yahia Ashraf")</f>
        <v/>
      </c>
      <c r="N24" s="511" t="inlineStr">
        <is>
          <t>adhoc, NA</t>
        </is>
      </c>
      <c r="O24" s="488" t="n">
        <v>1</v>
      </c>
      <c r="P24" s="488" t="n">
        <v>1</v>
      </c>
    </row>
    <row r="25" ht="15.75" customHeight="1" s="279">
      <c r="A25" s="420" t="inlineStr">
        <is>
          <t>Buy a Shovel</t>
        </is>
      </c>
      <c r="B25" s="475">
        <f>HYPERLINK("http://codeforces.com/contest/732/problem/A","CF732-D2-A")</f>
        <v/>
      </c>
      <c r="C25" s="418" t="n"/>
      <c r="D25" s="418" t="n"/>
      <c r="E25" s="418" t="n"/>
      <c r="F25" s="418" t="n"/>
      <c r="G25" s="418" t="n"/>
      <c r="H25" s="418" t="n"/>
      <c r="I25" s="404">
        <f>SUM(E25:H25)</f>
        <v/>
      </c>
      <c r="J25" s="404" t="n"/>
      <c r="K25" s="404" t="n"/>
      <c r="L25" s="404" t="n"/>
      <c r="M25" s="422">
        <f>HYPERLINK("https://www.youtube.com/watch?v=jKOSPuoplz0","Video Solution - Eng Yahia Ashraf")</f>
        <v/>
      </c>
      <c r="N25" s="511" t="inlineStr">
        <is>
          <t>adhoc, NA</t>
        </is>
      </c>
      <c r="O25" s="488" t="n">
        <v>1</v>
      </c>
      <c r="P25" s="488" t="n">
        <v>1</v>
      </c>
    </row>
    <row r="26" ht="15.75" customHeight="1" s="279">
      <c r="A26" s="420" t="inlineStr">
        <is>
          <t>Bear and Big Brother</t>
        </is>
      </c>
      <c r="B26" s="475">
        <f>HYPERLINK("codeforces.com/contest/791/problem/A","CF791-D2-A")</f>
        <v/>
      </c>
      <c r="C26" s="418" t="n"/>
      <c r="D26" s="418" t="n"/>
      <c r="E26" s="418" t="n"/>
      <c r="F26" s="418" t="n"/>
      <c r="G26" s="418" t="n"/>
      <c r="H26" s="418" t="n"/>
      <c r="I26" s="404">
        <f>SUM(E26:H26)</f>
        <v/>
      </c>
      <c r="J26" s="404" t="n"/>
      <c r="K26" s="404" t="n"/>
      <c r="L26" s="404" t="n"/>
      <c r="M26" s="422">
        <f>HYPERLINK("https://www.youtube.com/watch?v=t05qYeiWGGc","Video Solution - Eng Youssef El Ghareeb")</f>
        <v/>
      </c>
      <c r="N26" s="511" t="inlineStr">
        <is>
          <t>adhoc, NA</t>
        </is>
      </c>
      <c r="O26" s="488" t="n">
        <v>1</v>
      </c>
      <c r="P26" s="488" t="n">
        <v>1</v>
      </c>
    </row>
    <row r="27" ht="15.75" customHeight="1" s="279">
      <c r="A27" s="420" t="inlineStr">
        <is>
          <t>Good Number</t>
        </is>
      </c>
      <c r="B27" s="475">
        <f>HYPERLINK("http://codeforces.com/contest/365/problem/A","CF365-D2-A")</f>
        <v/>
      </c>
      <c r="C27" s="418" t="n"/>
      <c r="D27" s="418" t="n"/>
      <c r="E27" s="418" t="n"/>
      <c r="F27" s="418" t="n"/>
      <c r="G27" s="418" t="n"/>
      <c r="H27" s="418" t="n"/>
      <c r="I27" s="404">
        <f>SUM(E27:H27)</f>
        <v/>
      </c>
      <c r="J27" s="451" t="n"/>
      <c r="K27" s="404" t="n"/>
      <c r="L27" s="451" t="n"/>
      <c r="M27" s="408">
        <f>HYPERLINK("https://www.youtube.com/watch?v=W5SLLnni1KM&amp;feature=youtu.be","Video Solution - Eng Muntaser Abukadeja")</f>
        <v/>
      </c>
      <c r="N27" s="488" t="inlineStr">
        <is>
          <t>adhoc</t>
        </is>
      </c>
      <c r="O27" s="488" t="n">
        <v>1</v>
      </c>
      <c r="P27" s="488" t="n">
        <v>1.5</v>
      </c>
    </row>
    <row r="28" ht="15.75" customHeight="1" s="279">
      <c r="A28" s="420" t="inlineStr">
        <is>
          <t>Snow Footprints</t>
        </is>
      </c>
      <c r="B28" s="475">
        <f>HYPERLINK("http://codeforces.com/contest/298/problem/A","CF298-D2-A")</f>
        <v/>
      </c>
      <c r="C28" s="418" t="n"/>
      <c r="D28" s="418" t="n"/>
      <c r="E28" s="418" t="n"/>
      <c r="F28" s="418" t="n"/>
      <c r="G28" s="418" t="n"/>
      <c r="H28" s="418" t="n"/>
      <c r="I28" s="404">
        <f>SUM(E28:H28)</f>
        <v/>
      </c>
      <c r="J28" s="418" t="n"/>
      <c r="K28" s="404" t="n"/>
      <c r="L28" s="418" t="n"/>
      <c r="M28" s="421">
        <f>HYPERLINK("https://www.youtube.com/watch?v=oX_hPHnYgMA","Video Solution - Dr Mostafa Saad")</f>
        <v/>
      </c>
      <c r="N28" s="488" t="inlineStr">
        <is>
          <t>adhoc</t>
        </is>
      </c>
      <c r="O28" s="488" t="n">
        <v>1</v>
      </c>
      <c r="P28" s="488" t="n">
        <v>1.5</v>
      </c>
    </row>
    <row r="29" ht="15.75" customHeight="1" s="279">
      <c r="A29" s="420" t="inlineStr">
        <is>
          <t>String Task</t>
        </is>
      </c>
      <c r="B29" s="475">
        <f>HYPERLINK("http://codeforces.com/contest/118/problem/A","CF118-D2-A")</f>
        <v/>
      </c>
      <c r="C29" s="418" t="n"/>
      <c r="D29" s="418" t="n"/>
      <c r="E29" s="418" t="n"/>
      <c r="F29" s="418" t="n"/>
      <c r="G29" s="418" t="n"/>
      <c r="H29" s="418" t="n"/>
      <c r="I29" s="404">
        <f>SUM(E29:H29)</f>
        <v/>
      </c>
      <c r="J29" s="418" t="n"/>
      <c r="K29" s="404" t="n"/>
      <c r="L29" s="418" t="n"/>
      <c r="M29" s="475">
        <f>HYPERLINK("https://www.youtube.com/watch?v=fiYo2lKksN0","Video Solution - Solver to be (Java)")</f>
        <v/>
      </c>
      <c r="N29" s="511" t="inlineStr">
        <is>
          <t>adhoc, NA</t>
        </is>
      </c>
      <c r="O29" s="488" t="n">
        <v>1</v>
      </c>
      <c r="P29" s="488" t="n">
        <v>1.5</v>
      </c>
    </row>
    <row r="30" ht="15.75" customHeight="1" s="279">
      <c r="A30" s="420" t="inlineStr">
        <is>
          <t>Presents</t>
        </is>
      </c>
      <c r="B30" s="475">
        <f>HYPERLINK("http://codeforces.com/contest/136/problem/A","CF136-D2-A")</f>
        <v/>
      </c>
      <c r="C30" s="418" t="n"/>
      <c r="D30" s="418" t="n"/>
      <c r="E30" s="418" t="n"/>
      <c r="F30" s="418" t="n"/>
      <c r="G30" s="418" t="n"/>
      <c r="H30" s="418" t="n"/>
      <c r="I30" s="404">
        <f>SUM(E30:H30)</f>
        <v/>
      </c>
      <c r="J30" s="418" t="n"/>
      <c r="K30" s="404" t="n"/>
      <c r="L30" s="418" t="n"/>
      <c r="M30" s="421">
        <f>HYPERLINK("https://www.youtube.com/watch?v=MduaJDmo7RU","Video Solution - Eng Ahmed Rafaat (Python)")</f>
        <v/>
      </c>
      <c r="N30" s="511" t="inlineStr">
        <is>
          <t>adhoc, NA</t>
        </is>
      </c>
      <c r="O30" s="488" t="n">
        <v>1</v>
      </c>
      <c r="P30" s="488" t="n">
        <v>1.5</v>
      </c>
    </row>
    <row r="31" ht="15.75" customHeight="1" s="279">
      <c r="A31" s="420" t="inlineStr">
        <is>
          <t>Next Round</t>
        </is>
      </c>
      <c r="B31" s="475">
        <f>HYPERLINK("http://codeforces.com/contest/158/problem/A","CF158-D12-A")</f>
        <v/>
      </c>
      <c r="C31" s="418" t="n"/>
      <c r="D31" s="418" t="n"/>
      <c r="E31" s="418" t="n"/>
      <c r="F31" s="418" t="n"/>
      <c r="G31" s="418" t="n"/>
      <c r="H31" s="418" t="n"/>
      <c r="I31" s="404">
        <f>SUM(E31:H31)</f>
        <v/>
      </c>
      <c r="J31" s="418" t="n"/>
      <c r="K31" s="404" t="n"/>
      <c r="L31" s="418" t="n"/>
      <c r="M31" s="475">
        <f>HYPERLINK("https://www.youtube.com/watch?v=jwF2F5D8j9o","Video Solution - Solver to be (Java)")</f>
        <v/>
      </c>
      <c r="N31" s="511" t="inlineStr">
        <is>
          <t>adhoc, NA</t>
        </is>
      </c>
      <c r="O31" s="488" t="n">
        <v>1</v>
      </c>
      <c r="P31" s="488" t="n">
        <v>1.5</v>
      </c>
    </row>
    <row r="32" ht="15.75" customHeight="1" s="279">
      <c r="A32" s="420" t="inlineStr">
        <is>
          <t>Twins</t>
        </is>
      </c>
      <c r="B32" s="475">
        <f>HYPERLINK("http://codeforces.com/contest/160/problem/A","CF160-D2-A")</f>
        <v/>
      </c>
      <c r="C32" s="418" t="n"/>
      <c r="D32" s="418" t="n"/>
      <c r="E32" s="418" t="n"/>
      <c r="F32" s="418" t="n"/>
      <c r="G32" s="418" t="n"/>
      <c r="H32" s="418" t="n"/>
      <c r="I32" s="404">
        <f>SUM(E32:H32)</f>
        <v/>
      </c>
      <c r="J32" s="418" t="n"/>
      <c r="K32" s="404" t="n"/>
      <c r="L32" s="418" t="n"/>
      <c r="M32" s="421">
        <f>HYPERLINK("https://www.youtube.com/watch?v=V6fh3b50nX8","Video Solution - Solver to be (Java)")</f>
        <v/>
      </c>
      <c r="N32" s="511" t="inlineStr">
        <is>
          <t>adhoc, NA</t>
        </is>
      </c>
      <c r="O32" s="488" t="n">
        <v>1</v>
      </c>
      <c r="P32" s="488" t="n">
        <v>1.5</v>
      </c>
    </row>
    <row r="33" ht="15.75" customHeight="1" s="279">
      <c r="A33" s="420" t="inlineStr">
        <is>
          <t>Dubstep</t>
        </is>
      </c>
      <c r="B33" s="475">
        <f>HYPERLINK("http://codeforces.com/contest/208/problem/A","CF208-D2-A")</f>
        <v/>
      </c>
      <c r="C33" s="418" t="n"/>
      <c r="D33" s="418" t="n"/>
      <c r="E33" s="418" t="n"/>
      <c r="F33" s="418" t="n"/>
      <c r="G33" s="418" t="n"/>
      <c r="H33" s="418" t="n"/>
      <c r="I33" s="404">
        <f>SUM(E33:H33)</f>
        <v/>
      </c>
      <c r="J33" s="418" t="n"/>
      <c r="K33" s="404" t="n"/>
      <c r="L33" s="418" t="n"/>
      <c r="M33" s="475">
        <f>HYPERLINK("https://www.youtube.com/watch?v=M4umpd8utSA","Video Solution - Solver to be (Java)")</f>
        <v/>
      </c>
      <c r="N33" s="511" t="inlineStr">
        <is>
          <t>adhoc, NA</t>
        </is>
      </c>
      <c r="O33" s="488" t="n">
        <v>1</v>
      </c>
      <c r="P33" s="488" t="n">
        <v>1.5</v>
      </c>
    </row>
    <row r="34" ht="15.75" customHeight="1" s="279">
      <c r="A34" s="420" t="inlineStr">
        <is>
          <t>Mountain Scenery</t>
        </is>
      </c>
      <c r="B34" s="475">
        <f>HYPERLINK("http://codeforces.com/contest/218/problem/A","CF218-D2-A")</f>
        <v/>
      </c>
      <c r="C34" s="418" t="n"/>
      <c r="D34" s="418" t="n"/>
      <c r="E34" s="418" t="n"/>
      <c r="F34" s="418" t="n"/>
      <c r="G34" s="418" t="n"/>
      <c r="H34" s="418" t="n"/>
      <c r="I34" s="404">
        <f>SUM(E34:H34)</f>
        <v/>
      </c>
      <c r="J34" s="451" t="n"/>
      <c r="K34" s="404" t="n"/>
      <c r="L34" s="451" t="n"/>
      <c r="M34" s="408">
        <f>HYPERLINK("https://www.youtube.com/watch?v=qmGhxFPv5GI&amp;feature=youtu.be","Video Solution - Eng John Gamal")</f>
        <v/>
      </c>
      <c r="N34" s="511" t="inlineStr">
        <is>
          <t>adhoc, NA</t>
        </is>
      </c>
      <c r="O34" s="488" t="n">
        <v>1</v>
      </c>
      <c r="P34" s="488" t="n">
        <v>1.5</v>
      </c>
    </row>
    <row r="35" ht="15.75" customHeight="1" s="279">
      <c r="A35" s="420" t="inlineStr">
        <is>
          <t>Dice Tower</t>
        </is>
      </c>
      <c r="B35" s="475">
        <f>HYPERLINK("http://codeforces.com/contest/225/problem/A","CF225-D2-A")</f>
        <v/>
      </c>
      <c r="C35" s="418" t="n"/>
      <c r="D35" s="418" t="n"/>
      <c r="E35" s="418" t="n"/>
      <c r="F35" s="418" t="n"/>
      <c r="G35" s="418" t="n"/>
      <c r="H35" s="418" t="n"/>
      <c r="I35" s="404">
        <f>SUM(E35:H35)</f>
        <v/>
      </c>
      <c r="J35" s="451" t="n"/>
      <c r="K35" s="404" t="n"/>
      <c r="L35" s="451" t="n"/>
      <c r="M35" s="408">
        <f>HYPERLINK("https://www.youtube.com/watch?v=AU4cdWZrKNA&amp;feature=youtu.be","Video Solution - Eng Muntaser Abukadeja")</f>
        <v/>
      </c>
      <c r="N35" s="511" t="inlineStr">
        <is>
          <t>adhoc, NA</t>
        </is>
      </c>
      <c r="O35" s="488" t="n">
        <v>1</v>
      </c>
      <c r="P35" s="488" t="n">
        <v>1.5</v>
      </c>
    </row>
    <row r="36" ht="15.75" customHeight="1" s="279">
      <c r="A36" s="420" t="inlineStr">
        <is>
          <t>Fancy Fence</t>
        </is>
      </c>
      <c r="B36" s="475">
        <f>HYPERLINK("http://codeforces.com/contest/270/problem/A","CF270-D2-A")</f>
        <v/>
      </c>
      <c r="C36" s="418" t="n"/>
      <c r="D36" s="418" t="n"/>
      <c r="E36" s="418" t="n"/>
      <c r="F36" s="418" t="n"/>
      <c r="G36" s="418" t="n"/>
      <c r="H36" s="418" t="n"/>
      <c r="I36" s="404">
        <f>SUM(E36:H36)</f>
        <v/>
      </c>
      <c r="J36" s="418" t="n"/>
      <c r="K36" s="404" t="n"/>
      <c r="L36" s="418" t="n"/>
      <c r="M36" s="475">
        <f>HYPERLINK("https://www.youtube.com/watch?v=ShgpJWttyxw","Video Solution - Eng Omar Ashraf")</f>
        <v/>
      </c>
      <c r="N36" s="511" t="inlineStr">
        <is>
          <t>adhoc, NA</t>
        </is>
      </c>
      <c r="O36" s="488" t="n">
        <v>1</v>
      </c>
      <c r="P36" s="488" t="n">
        <v>1.5</v>
      </c>
    </row>
    <row r="37" ht="15.75" customHeight="1" s="279">
      <c r="A37" s="420" t="inlineStr">
        <is>
          <t>Bit++</t>
        </is>
      </c>
      <c r="B37" s="475">
        <f>HYPERLINK("http://codeforces.com/contest/282/problem/A","CF282-D2-A")</f>
        <v/>
      </c>
      <c r="C37" s="418" t="n"/>
      <c r="D37" s="418" t="n"/>
      <c r="E37" s="418" t="n"/>
      <c r="F37" s="418" t="n"/>
      <c r="G37" s="418" t="n"/>
      <c r="H37" s="418" t="n"/>
      <c r="I37" s="404">
        <f>SUM(E37:H37)</f>
        <v/>
      </c>
      <c r="J37" s="418" t="n"/>
      <c r="K37" s="404" t="n"/>
      <c r="L37" s="418" t="n"/>
      <c r="M37" s="421">
        <f>HYPERLINK("https://www.youtube.com/watch?v=5TyT1RIv3wM","Video Solution - Solver to be (Java)")</f>
        <v/>
      </c>
      <c r="N37" s="511" t="inlineStr">
        <is>
          <t>adhoc, NA</t>
        </is>
      </c>
      <c r="O37" s="488" t="n">
        <v>1</v>
      </c>
      <c r="P37" s="488" t="n">
        <v>1.5</v>
      </c>
    </row>
    <row r="38" ht="15.75" customHeight="1" s="279">
      <c r="A38" s="420" t="inlineStr">
        <is>
          <t>IQ Test</t>
        </is>
      </c>
      <c r="B38" s="475">
        <f>HYPERLINK("http://codeforces.com/contest/287/problem/A","CF287-D2-A")</f>
        <v/>
      </c>
      <c r="C38" s="418" t="n"/>
      <c r="D38" s="418" t="n"/>
      <c r="E38" s="418" t="n"/>
      <c r="F38" s="418" t="n"/>
      <c r="G38" s="418" t="n"/>
      <c r="H38" s="418" t="n"/>
      <c r="I38" s="404">
        <f>SUM(E38:H38)</f>
        <v/>
      </c>
      <c r="J38" s="418" t="n"/>
      <c r="K38" s="404" t="n"/>
      <c r="L38" s="418" t="n"/>
      <c r="M38" s="421">
        <f>HYPERLINK("https://www.youtube.com/watch?v=n7uY7HC4XIM","Video Solution - Dr Mostafa Saad")</f>
        <v/>
      </c>
      <c r="N38" s="511" t="inlineStr">
        <is>
          <t>adhoc, NA</t>
        </is>
      </c>
      <c r="O38" s="488" t="n">
        <v>1</v>
      </c>
      <c r="P38" s="488" t="n">
        <v>1.5</v>
      </c>
    </row>
    <row r="39" ht="15.75" customHeight="1" s="279">
      <c r="A39" s="420" t="inlineStr">
        <is>
          <t>Polo the Penguin and Segments</t>
        </is>
      </c>
      <c r="B39" s="475">
        <f>HYPERLINK("http://codeforces.com/contest/289/problem/A","CF289-D2-A")</f>
        <v/>
      </c>
      <c r="C39" s="418" t="n"/>
      <c r="D39" s="418" t="n"/>
      <c r="E39" s="418" t="n"/>
      <c r="F39" s="418" t="n"/>
      <c r="G39" s="418" t="n"/>
      <c r="H39" s="418" t="n"/>
      <c r="I39" s="404">
        <f>SUM(E39:H39)</f>
        <v/>
      </c>
      <c r="J39" s="418" t="n"/>
      <c r="K39" s="404" t="n"/>
      <c r="L39" s="418" t="n"/>
      <c r="M39" s="421">
        <f>HYPERLINK("https://www.youtube.com/watch?v=EjH3kDiEpS0","Video Solution - Dr Mostafa Saad")</f>
        <v/>
      </c>
      <c r="N39" s="511" t="inlineStr">
        <is>
          <t>adhoc, NA</t>
        </is>
      </c>
      <c r="O39" s="488" t="n">
        <v>1</v>
      </c>
      <c r="P39" s="488" t="n">
        <v>1.5</v>
      </c>
    </row>
    <row r="40" ht="15.75" customHeight="1" s="279">
      <c r="A40" s="420" t="inlineStr">
        <is>
          <t>Shaass and Oskols</t>
        </is>
      </c>
      <c r="B40" s="475">
        <f>HYPERLINK("http://codeforces.com/contest/294/problem/A","CF294-D2-A")</f>
        <v/>
      </c>
      <c r="C40" s="418" t="n"/>
      <c r="D40" s="418" t="n"/>
      <c r="E40" s="418" t="n"/>
      <c r="F40" s="418" t="n"/>
      <c r="G40" s="418" t="n"/>
      <c r="H40" s="418" t="n"/>
      <c r="I40" s="404">
        <f>SUM(E40:H40)</f>
        <v/>
      </c>
      <c r="J40" s="418" t="n"/>
      <c r="K40" s="404" t="n"/>
      <c r="L40" s="418" t="n"/>
      <c r="M40" s="421">
        <f>HYPERLINK("https://www.youtube.com/watch?v=GOuclkVCvRI","Video Solution - Dr Mostafa Saad")</f>
        <v/>
      </c>
      <c r="N40" s="511" t="inlineStr">
        <is>
          <t>adhoc, NA</t>
        </is>
      </c>
      <c r="O40" s="488" t="n">
        <v>1</v>
      </c>
      <c r="P40" s="488" t="n">
        <v>1.5</v>
      </c>
    </row>
    <row r="41" ht="15.75" customHeight="1" s="279">
      <c r="A41" s="420" t="inlineStr">
        <is>
          <t>Yaroslav and Permutations</t>
        </is>
      </c>
      <c r="B41" s="475">
        <f>HYPERLINK("http://codeforces.com/contest/296/problem/A","CF296-D2-A")</f>
        <v/>
      </c>
      <c r="C41" s="418" t="n"/>
      <c r="D41" s="418" t="n"/>
      <c r="E41" s="418" t="n"/>
      <c r="F41" s="418" t="n"/>
      <c r="G41" s="418" t="n"/>
      <c r="H41" s="418" t="n"/>
      <c r="I41" s="404">
        <f>SUM(E41:H41)</f>
        <v/>
      </c>
      <c r="J41" s="418" t="n"/>
      <c r="K41" s="404" t="n"/>
      <c r="L41" s="418" t="n"/>
      <c r="M41" s="421">
        <f>HYPERLINK("https://www.youtube.com/watch?v=kdgWBRPqMfo","Video Solution - Dr Mostafa Saad")</f>
        <v/>
      </c>
      <c r="N41" s="511" t="inlineStr">
        <is>
          <t>adhoc, NA</t>
        </is>
      </c>
      <c r="O41" s="488" t="n">
        <v>1</v>
      </c>
      <c r="P41" s="488" t="n">
        <v>1.5</v>
      </c>
    </row>
    <row r="42" ht="15.75" customHeight="1" s="279">
      <c r="A42" s="420" t="inlineStr">
        <is>
          <t>Even Odds</t>
        </is>
      </c>
      <c r="B42" s="475">
        <f>HYPERLINK("http://codeforces.com/contest/318/problem/A","CF318-D2-A")</f>
        <v/>
      </c>
      <c r="C42" s="418" t="n"/>
      <c r="D42" s="418" t="n"/>
      <c r="E42" s="418" t="n"/>
      <c r="F42" s="418" t="n"/>
      <c r="G42" s="418" t="n"/>
      <c r="H42" s="418" t="n"/>
      <c r="I42" s="404">
        <f>SUM(E42:H42)</f>
        <v/>
      </c>
      <c r="J42" s="418" t="n"/>
      <c r="K42" s="404" t="n"/>
      <c r="L42" s="418" t="n"/>
      <c r="M42" s="421">
        <f>HYPERLINK("https://www.youtube.com/watch?v=w7gZx99Efzs&amp;feature=youtu.be","Video Solution - Eng Muntaser Abukadeja")</f>
        <v/>
      </c>
      <c r="N42" s="511" t="inlineStr">
        <is>
          <t>adhoc, NA</t>
        </is>
      </c>
      <c r="O42" s="488" t="n">
        <v>1</v>
      </c>
      <c r="P42" s="488" t="n">
        <v>1.5</v>
      </c>
    </row>
    <row r="43" ht="15.75" customHeight="1" s="279">
      <c r="A43" s="420" t="inlineStr">
        <is>
          <t>Helpful Maths</t>
        </is>
      </c>
      <c r="B43" s="475">
        <f>HYPERLINK("http://codeforces.com/contest/339/problem/A","CF339-D2-A")</f>
        <v/>
      </c>
      <c r="C43" s="418" t="n"/>
      <c r="D43" s="418" t="n"/>
      <c r="E43" s="418" t="n"/>
      <c r="F43" s="418" t="n"/>
      <c r="G43" s="418" t="n"/>
      <c r="H43" s="418" t="n"/>
      <c r="I43" s="404">
        <f>SUM(E43:H43)</f>
        <v/>
      </c>
      <c r="J43" s="418" t="n"/>
      <c r="K43" s="404" t="n"/>
      <c r="L43" s="418" t="n"/>
      <c r="M43" s="475">
        <f>HYPERLINK("https://www.youtube.com/watch?v=NLsyJpkFMz4","Video Solution - Solver to be (Java)")</f>
        <v/>
      </c>
      <c r="N43" s="511" t="inlineStr">
        <is>
          <t>adhoc, NA</t>
        </is>
      </c>
      <c r="O43" s="488" t="n">
        <v>1</v>
      </c>
      <c r="P43" s="488" t="n">
        <v>1.5</v>
      </c>
    </row>
    <row r="44" ht="15.75" customHeight="1" s="279">
      <c r="A44" s="420" t="inlineStr">
        <is>
          <t>Ksenia and Pan Scales</t>
        </is>
      </c>
      <c r="B44" s="475">
        <f>HYPERLINK("http://codeforces.com/contest/382/problem/A","CF382-D2-A")</f>
        <v/>
      </c>
      <c r="C44" s="418" t="n"/>
      <c r="D44" s="418" t="n"/>
      <c r="E44" s="418" t="n"/>
      <c r="F44" s="418" t="n"/>
      <c r="G44" s="418" t="n"/>
      <c r="H44" s="418" t="n"/>
      <c r="I44" s="404">
        <f>SUM(E44:H44)</f>
        <v/>
      </c>
      <c r="J44" s="451" t="n"/>
      <c r="K44" s="404" t="n"/>
      <c r="L44" s="451" t="n"/>
      <c r="M44" s="422">
        <f>HYPERLINK("https://www.youtube.com/watch?v=6xkV-GeRs2o&amp;feature=youtu.be","Video Solution - Eng Samed Hajajla")</f>
        <v/>
      </c>
      <c r="N44" s="511" t="inlineStr">
        <is>
          <t>adhoc, NA</t>
        </is>
      </c>
      <c r="O44" s="488" t="n">
        <v>1</v>
      </c>
      <c r="P44" s="488" t="n">
        <v>1.5</v>
      </c>
    </row>
    <row r="45" ht="15.75" customHeight="1" s="279">
      <c r="A45" s="420" t="inlineStr">
        <is>
          <t>Translation</t>
        </is>
      </c>
      <c r="B45" s="475">
        <f>HYPERLINK("http://codeforces.com/contest/41/problem/A","CF41-D2-A")</f>
        <v/>
      </c>
      <c r="C45" s="418" t="n"/>
      <c r="D45" s="418" t="n"/>
      <c r="E45" s="418" t="n"/>
      <c r="F45" s="418" t="n"/>
      <c r="G45" s="418" t="n"/>
      <c r="H45" s="418" t="n"/>
      <c r="I45" s="404">
        <f>SUM(E45:H45)</f>
        <v/>
      </c>
      <c r="J45" s="418" t="n"/>
      <c r="K45" s="404" t="n"/>
      <c r="L45" s="418" t="n"/>
      <c r="M45" s="475">
        <f>HYPERLINK("https://www.youtube.com/watch?v=2rXyyB_2zX8","Video Solution - Solver to be (Java)")</f>
        <v/>
      </c>
      <c r="N45" s="511" t="inlineStr">
        <is>
          <t>adhoc, NA</t>
        </is>
      </c>
      <c r="O45" s="488" t="n">
        <v>1</v>
      </c>
      <c r="P45" s="488" t="n">
        <v>1.5</v>
      </c>
    </row>
    <row r="46" ht="15.75" customHeight="1" s="279">
      <c r="A46" s="420" t="inlineStr">
        <is>
          <t>Football</t>
        </is>
      </c>
      <c r="B46" s="475">
        <f>HYPERLINK("http://codeforces.com/contest/43/problem/A","CF43-D2-A")</f>
        <v/>
      </c>
      <c r="C46" s="418" t="n"/>
      <c r="D46" s="418" t="n"/>
      <c r="E46" s="418" t="n"/>
      <c r="F46" s="418" t="n"/>
      <c r="G46" s="418" t="n"/>
      <c r="H46" s="418" t="n"/>
      <c r="I46" s="404">
        <f>SUM(E46:H46)</f>
        <v/>
      </c>
      <c r="J46" s="418" t="n"/>
      <c r="K46" s="404" t="n"/>
      <c r="L46" s="418" t="n"/>
      <c r="M46" s="475">
        <f>HYPERLINK("https://www.youtube.com/watch?v=fUOco0Vz584&amp;feature=youtu.be","Video Solution - Eng Belal Abdulnasser (Python)")</f>
        <v/>
      </c>
      <c r="N46" s="511" t="inlineStr">
        <is>
          <t>adhoc, NA</t>
        </is>
      </c>
      <c r="O46" s="488" t="n">
        <v>1</v>
      </c>
      <c r="P46" s="488" t="n">
        <v>1.5</v>
      </c>
    </row>
    <row r="47" ht="15.75" customHeight="1" s="279">
      <c r="A47" s="420" t="inlineStr">
        <is>
          <t>Anton and Letters</t>
        </is>
      </c>
      <c r="B47" s="475">
        <f>HYPERLINK("http://codeforces.com/contest/443/problem/A","CF443-D2-A")</f>
        <v/>
      </c>
      <c r="C47" s="418" t="n"/>
      <c r="D47" s="418" t="n"/>
      <c r="E47" s="418" t="n"/>
      <c r="F47" s="418" t="n"/>
      <c r="G47" s="418" t="n"/>
      <c r="H47" s="418" t="n"/>
      <c r="I47" s="404">
        <f>SUM(E47:H47)</f>
        <v/>
      </c>
      <c r="J47" s="418" t="n"/>
      <c r="K47" s="404" t="n"/>
      <c r="L47" s="418" t="n"/>
      <c r="M47" s="421">
        <f>HYPERLINK("https://www.youtube.com/watch?v=YXuljSnZaTY","Video Solution - Solver to be (Java)")</f>
        <v/>
      </c>
      <c r="N47" s="511" t="inlineStr">
        <is>
          <t>adhoc, NA</t>
        </is>
      </c>
      <c r="O47" s="488" t="n">
        <v>1</v>
      </c>
      <c r="P47" s="488" t="n">
        <v>1.5</v>
      </c>
    </row>
    <row r="48" ht="15.75" customHeight="1" s="279">
      <c r="A48" s="420" t="inlineStr">
        <is>
          <t>Laptops</t>
        </is>
      </c>
      <c r="B48" s="475">
        <f>HYPERLINK("http://codeforces.com/contest/456/problem/A","CF456-D2-A")</f>
        <v/>
      </c>
      <c r="C48" s="418" t="n"/>
      <c r="D48" s="418" t="n"/>
      <c r="E48" s="418" t="n"/>
      <c r="F48" s="418" t="n"/>
      <c r="G48" s="418" t="n"/>
      <c r="H48" s="418" t="n"/>
      <c r="I48" s="404">
        <f>SUM(E48:H48)</f>
        <v/>
      </c>
      <c r="J48" s="451" t="n"/>
      <c r="K48" s="404" t="n"/>
      <c r="L48" s="451" t="n"/>
      <c r="M48" s="475">
        <f>HYPERLINK("https://www.youtube.com/watch?v=_Ab4PUC2vMk","Video Solution - Solver to be (Java)")</f>
        <v/>
      </c>
      <c r="N48" s="511" t="inlineStr">
        <is>
          <t>adhoc, NA</t>
        </is>
      </c>
      <c r="O48" s="488" t="n">
        <v>1</v>
      </c>
      <c r="P48" s="488" t="n">
        <v>1.5</v>
      </c>
    </row>
    <row r="49" ht="15.75" customHeight="1" s="279">
      <c r="A49" s="420" t="inlineStr">
        <is>
          <t>I Wanna Be the Guy</t>
        </is>
      </c>
      <c r="B49" s="475">
        <f>HYPERLINK("http://codeforces.com/contest/469/problem/A","CF469-D2-A")</f>
        <v/>
      </c>
      <c r="C49" s="418" t="n"/>
      <c r="D49" s="418" t="n"/>
      <c r="E49" s="418" t="n"/>
      <c r="F49" s="418" t="n"/>
      <c r="G49" s="418" t="n"/>
      <c r="H49" s="418" t="n"/>
      <c r="I49" s="404">
        <f>SUM(E49:H49)</f>
        <v/>
      </c>
      <c r="J49" s="418" t="n"/>
      <c r="K49" s="404" t="n"/>
      <c r="L49" s="418" t="n"/>
      <c r="M49" s="421">
        <f>HYPERLINK("https://www.youtube.com/watch?v=MVHuUdj_CWo","Video Solution - Solver to be (Java)")</f>
        <v/>
      </c>
      <c r="N49" s="511" t="inlineStr">
        <is>
          <t>adhoc, NA</t>
        </is>
      </c>
      <c r="O49" s="488" t="n">
        <v>1</v>
      </c>
      <c r="P49" s="488" t="n">
        <v>1.5</v>
      </c>
    </row>
    <row r="50" ht="15.75" customHeight="1" s="279">
      <c r="A50" s="420" t="inlineStr">
        <is>
          <t>Keyboard</t>
        </is>
      </c>
      <c r="B50" s="475">
        <f>HYPERLINK("http://codeforces.com/contest/474/problem/A","CF474-D2-A")</f>
        <v/>
      </c>
      <c r="C50" s="418" t="n"/>
      <c r="D50" s="418" t="n"/>
      <c r="E50" s="418" t="n"/>
      <c r="F50" s="418" t="n"/>
      <c r="G50" s="418" t="n"/>
      <c r="H50" s="418" t="n"/>
      <c r="I50" s="404">
        <f>SUM(E50:H50)</f>
        <v/>
      </c>
      <c r="J50" s="418" t="n"/>
      <c r="K50" s="418" t="n"/>
      <c r="L50" s="418" t="n"/>
      <c r="M50" s="421">
        <f>HYPERLINK("https://www.youtube.com/watch?v=oFIiCpVI3Ck","Video Solution - Solver to be (Java)")</f>
        <v/>
      </c>
      <c r="N50" s="511" t="inlineStr">
        <is>
          <t>adhoc, NA</t>
        </is>
      </c>
      <c r="O50" s="488" t="n">
        <v>1</v>
      </c>
      <c r="P50" s="488" t="n">
        <v>1.5</v>
      </c>
    </row>
    <row r="51" ht="15.75" customHeight="1" s="279">
      <c r="A51" s="420" t="inlineStr">
        <is>
          <t>Counterexample</t>
        </is>
      </c>
      <c r="B51" s="475">
        <f>HYPERLINK("http://codeforces.com/contest/483/problem/A","CF483-D2-A")</f>
        <v/>
      </c>
      <c r="C51" s="418" t="n"/>
      <c r="D51" s="418" t="n"/>
      <c r="E51" s="418" t="n"/>
      <c r="F51" s="418" t="n"/>
      <c r="G51" s="418" t="n"/>
      <c r="H51" s="418" t="n"/>
      <c r="I51" s="404">
        <f>SUM(E51:H51)</f>
        <v/>
      </c>
      <c r="J51" s="451" t="n"/>
      <c r="K51" s="404" t="n"/>
      <c r="L51" s="451" t="n"/>
      <c r="M51" s="475">
        <f>HYPERLINK("https://www.youtube.com/watch?v=hWzHWVd9jI8","Video Solution - Solver to be (Java)")</f>
        <v/>
      </c>
      <c r="N51" s="511" t="inlineStr">
        <is>
          <t>adhoc, NA</t>
        </is>
      </c>
      <c r="O51" s="488" t="n">
        <v>1</v>
      </c>
      <c r="P51" s="488" t="n">
        <v>1.5</v>
      </c>
    </row>
    <row r="52" ht="15.75" customHeight="1" s="279">
      <c r="A52" s="420" t="inlineStr">
        <is>
          <t>Calculating Function</t>
        </is>
      </c>
      <c r="B52" s="475">
        <f>HYPERLINK("http://codeforces.com/contest/486/problem/A","CF486-D2-A")</f>
        <v/>
      </c>
      <c r="C52" s="418" t="n"/>
      <c r="D52" s="418" t="n"/>
      <c r="E52" s="418" t="n"/>
      <c r="F52" s="418" t="n"/>
      <c r="G52" s="418" t="n"/>
      <c r="H52" s="418" t="n"/>
      <c r="I52" s="404">
        <f>SUM(E52:H52)</f>
        <v/>
      </c>
      <c r="J52" s="418" t="n"/>
      <c r="K52" s="404" t="n"/>
      <c r="L52" s="418" t="n"/>
      <c r="M52" s="475">
        <f>HYPERLINK("https://www.youtube.com/watch?v=IByiomshI2o","Video Solution - Solver to be (Java)")</f>
        <v/>
      </c>
      <c r="N52" s="511" t="inlineStr">
        <is>
          <t>adhoc, NA</t>
        </is>
      </c>
      <c r="O52" s="488" t="n">
        <v>1</v>
      </c>
      <c r="P52" s="488" t="n">
        <v>1.5</v>
      </c>
    </row>
    <row r="53" ht="15.75" customHeight="1" s="279">
      <c r="A53" s="420" t="inlineStr">
        <is>
          <t>Team Olympiad</t>
        </is>
      </c>
      <c r="B53" s="475">
        <f>HYPERLINK("http://codeforces.com/contest/490/problem/A","CF490-D2-A")</f>
        <v/>
      </c>
      <c r="C53" s="418" t="n"/>
      <c r="D53" s="418" t="n"/>
      <c r="E53" s="418" t="n"/>
      <c r="F53" s="418" t="n"/>
      <c r="G53" s="418" t="n"/>
      <c r="H53" s="418" t="n"/>
      <c r="I53" s="404">
        <f>SUM(E53:H53)</f>
        <v/>
      </c>
      <c r="J53" s="418" t="n"/>
      <c r="K53" s="404" t="n"/>
      <c r="L53" s="418" t="n"/>
      <c r="M53" s="421">
        <f>HYPERLINK("https://www.youtube.com/watch?v=2jJA1PCOrgg","Video Solution - Eng Muntaser Abukadeja")</f>
        <v/>
      </c>
      <c r="N53" s="511" t="inlineStr">
        <is>
          <t>adhoc, NA</t>
        </is>
      </c>
      <c r="O53" s="488" t="n">
        <v>1</v>
      </c>
      <c r="P53" s="488" t="n">
        <v>1.5</v>
      </c>
    </row>
    <row r="54" ht="15.75" customHeight="1" s="279">
      <c r="A54" s="420" t="inlineStr">
        <is>
          <t>Chewbaсca and Number</t>
        </is>
      </c>
      <c r="B54" s="475">
        <f>HYPERLINK("http://codeforces.com/contest/514/problem/A","CF514-D2-A")</f>
        <v/>
      </c>
      <c r="C54" s="418" t="n"/>
      <c r="D54" s="418" t="n"/>
      <c r="E54" s="418" t="n"/>
      <c r="F54" s="418" t="n"/>
      <c r="G54" s="418" t="n"/>
      <c r="H54" s="418" t="n"/>
      <c r="I54" s="404">
        <f>SUM(E54:H54)</f>
        <v/>
      </c>
      <c r="J54" s="451" t="n"/>
      <c r="K54" s="404" t="n"/>
      <c r="L54" s="451" t="n"/>
      <c r="M54" s="408">
        <f>HYPERLINK("https://www.youtube.com/watch?v=wU51frCexTY&amp;feature=youtu.be","Video Solution - Eng Muntaser Abukadeja")</f>
        <v/>
      </c>
      <c r="N54" s="511" t="inlineStr">
        <is>
          <t>adhoc, NA</t>
        </is>
      </c>
      <c r="O54" s="488" t="n">
        <v>1</v>
      </c>
      <c r="P54" s="488" t="n">
        <v>1.5</v>
      </c>
    </row>
    <row r="55" ht="15.75" customHeight="1" s="279">
      <c r="A55" s="420" t="inlineStr">
        <is>
          <t>Pangram</t>
        </is>
      </c>
      <c r="B55" s="475">
        <f>HYPERLINK("http://codeforces.com/contest/520/problem/A","CF520-D2-A")</f>
        <v/>
      </c>
      <c r="C55" s="418" t="n"/>
      <c r="D55" s="418" t="n"/>
      <c r="E55" s="418" t="n"/>
      <c r="F55" s="418" t="n"/>
      <c r="G55" s="418" t="n"/>
      <c r="H55" s="418" t="n"/>
      <c r="I55" s="404">
        <f>SUM(E55:H55)</f>
        <v/>
      </c>
      <c r="J55" s="418" t="n"/>
      <c r="K55" s="404" t="n"/>
      <c r="L55" s="418" t="n"/>
      <c r="M55" s="421">
        <f>HYPERLINK("https://www.youtube.com/watch?v=TrHCzh7bPRo","Video Solution - Solver to be (Java)")</f>
        <v/>
      </c>
      <c r="N55" s="511" t="inlineStr">
        <is>
          <t>adhoc, NA</t>
        </is>
      </c>
      <c r="O55" s="488" t="n">
        <v>1</v>
      </c>
      <c r="P55" s="488" t="n">
        <v>1.5</v>
      </c>
    </row>
    <row r="56" ht="15.75" customHeight="1" s="279">
      <c r="A56" s="420" t="inlineStr">
        <is>
          <t>Case of the Zeros and Ones</t>
        </is>
      </c>
      <c r="B56" s="475">
        <f>HYPERLINK("http://codeforces.com/contest/556/problem/A","CF556-D2-A")</f>
        <v/>
      </c>
      <c r="C56" s="418" t="n"/>
      <c r="D56" s="418" t="n"/>
      <c r="E56" s="418" t="n"/>
      <c r="F56" s="418" t="n"/>
      <c r="G56" s="418" t="n"/>
      <c r="H56" s="418" t="n"/>
      <c r="I56" s="404">
        <f>SUM(E56:H56)</f>
        <v/>
      </c>
      <c r="J56" s="418" t="n"/>
      <c r="K56" s="404" t="n"/>
      <c r="L56" s="418" t="n"/>
      <c r="M56" s="475">
        <f>HYPERLINK("https://www.youtube.com/watch?v=rud5ZbfjBxg","Video Solution - Solver to be (Java)")</f>
        <v/>
      </c>
      <c r="N56" s="511" t="inlineStr">
        <is>
          <t>adhoc, NA</t>
        </is>
      </c>
      <c r="O56" s="488" t="n">
        <v>1</v>
      </c>
      <c r="P56" s="488" t="n">
        <v>1.5</v>
      </c>
    </row>
    <row r="57" ht="15.75" customHeight="1" s="279">
      <c r="A57" s="420" t="inlineStr">
        <is>
          <t>Lineland Mail</t>
        </is>
      </c>
      <c r="B57" s="475">
        <f>HYPERLINK("http://codeforces.com/contest/567/problem/A","CF567-D2-A")</f>
        <v/>
      </c>
      <c r="C57" s="418" t="n"/>
      <c r="D57" s="418" t="n"/>
      <c r="E57" s="418" t="n"/>
      <c r="F57" s="418" t="n"/>
      <c r="G57" s="418" t="n"/>
      <c r="H57" s="418" t="n"/>
      <c r="I57" s="404">
        <f>SUM(E57:H57)</f>
        <v/>
      </c>
      <c r="J57" s="418" t="n"/>
      <c r="K57" s="404" t="n"/>
      <c r="L57" s="418" t="n"/>
      <c r="M57" s="421">
        <f>HYPERLINK("https://www.youtube.com/watch?v=gc4BEAw0pbs&amp;feature=youtu.be","Video Solution - Eng Ahmed Rafaat (Python)")</f>
        <v/>
      </c>
      <c r="N57" s="511" t="inlineStr">
        <is>
          <t>adhoc, NA</t>
        </is>
      </c>
      <c r="O57" s="488" t="n">
        <v>1</v>
      </c>
      <c r="P57" s="488" t="n">
        <v>1.5</v>
      </c>
    </row>
    <row r="58" ht="15.75" customHeight="1" s="279">
      <c r="A58" s="420" t="inlineStr">
        <is>
          <t>Raising Bacteria</t>
        </is>
      </c>
      <c r="B58" s="475">
        <f>HYPERLINK("http://codeforces.com/contest/579/problem/A","CF579-D2-A")</f>
        <v/>
      </c>
      <c r="C58" s="418" t="n"/>
      <c r="D58" s="418" t="n"/>
      <c r="E58" s="418" t="n"/>
      <c r="F58" s="418" t="n"/>
      <c r="G58" s="418" t="n"/>
      <c r="H58" s="418" t="n"/>
      <c r="I58" s="404">
        <f>SUM(E58:H58)</f>
        <v/>
      </c>
      <c r="J58" s="418" t="n"/>
      <c r="K58" s="404" t="n"/>
      <c r="L58" s="418" t="n"/>
      <c r="M58" s="421">
        <f>HYPERLINK("https://www.youtube.com/watch?v=UWMDrh1shXg","Video Solution - Eng Ahmed Rafaat (Python)")</f>
        <v/>
      </c>
      <c r="N58" s="511" t="inlineStr">
        <is>
          <t>adhoc, NA</t>
        </is>
      </c>
      <c r="O58" s="488" t="n">
        <v>1</v>
      </c>
      <c r="P58" s="488" t="n">
        <v>1.5</v>
      </c>
    </row>
    <row r="59" ht="15.75" customHeight="1" s="279">
      <c r="A59" s="420" t="inlineStr">
        <is>
          <t>Olesya and Rodion</t>
        </is>
      </c>
      <c r="B59" s="475">
        <f>HYPERLINK("http://codeforces.com/contest/584/problem/A","CF584-D2-A")</f>
        <v/>
      </c>
      <c r="C59" s="418" t="n"/>
      <c r="D59" s="418" t="n"/>
      <c r="E59" s="418" t="n"/>
      <c r="F59" s="418" t="n"/>
      <c r="G59" s="418" t="n"/>
      <c r="H59" s="418" t="n"/>
      <c r="I59" s="404">
        <f>SUM(E59:H59)</f>
        <v/>
      </c>
      <c r="J59" s="418" t="n"/>
      <c r="K59" s="404" t="n"/>
      <c r="L59" s="418" t="n"/>
      <c r="M59" s="475">
        <f>HYPERLINK("https://www.youtube.com/watch?v=U3bX6kIGDG8","Video Solution - Solver to be (Java)")</f>
        <v/>
      </c>
      <c r="N59" s="511" t="inlineStr">
        <is>
          <t>adhoc, NA</t>
        </is>
      </c>
      <c r="O59" s="488" t="n">
        <v>1</v>
      </c>
      <c r="P59" s="488" t="n">
        <v>1.5</v>
      </c>
    </row>
    <row r="60" ht="15.75" customHeight="1" s="279">
      <c r="A60" s="420" t="inlineStr">
        <is>
          <t>Alyona and Numbers</t>
        </is>
      </c>
      <c r="B60" s="475">
        <f>HYPERLINK("http://codeforces.com/contest/682/problem/A","CF682-D2-A")</f>
        <v/>
      </c>
      <c r="C60" s="418" t="n"/>
      <c r="D60" s="418" t="n"/>
      <c r="E60" s="418" t="n"/>
      <c r="F60" s="418" t="n"/>
      <c r="G60" s="418" t="n"/>
      <c r="H60" s="418" t="n"/>
      <c r="I60" s="404">
        <f>SUM(E60:H60)</f>
        <v/>
      </c>
      <c r="J60" s="451" t="n"/>
      <c r="K60" s="404" t="n"/>
      <c r="L60" s="451" t="n"/>
      <c r="M60" s="408">
        <f>HYPERLINK("https://www.youtube.com/watch?v=05ZIXw2G4Pw&amp;feature=youtu.be","Video Solution - Eng John Gamal")</f>
        <v/>
      </c>
      <c r="N60" s="511" t="inlineStr">
        <is>
          <t>adhoc, NA</t>
        </is>
      </c>
      <c r="O60" s="488" t="n">
        <v>1</v>
      </c>
      <c r="P60" s="488" t="n">
        <v>1.5</v>
      </c>
    </row>
    <row r="61" ht="15.75" customHeight="1" s="279">
      <c r="A61" s="420" t="inlineStr">
        <is>
          <t>Free Ice Cream</t>
        </is>
      </c>
      <c r="B61" s="475">
        <f>HYPERLINK("http://codeforces.com/contest/686/problem/A","CF686-D2-A")</f>
        <v/>
      </c>
      <c r="C61" s="418" t="n"/>
      <c r="D61" s="418" t="n"/>
      <c r="E61" s="418" t="n"/>
      <c r="F61" s="418" t="n"/>
      <c r="G61" s="418" t="n"/>
      <c r="H61" s="418" t="n"/>
      <c r="I61" s="404">
        <f>SUM(E61:H61)</f>
        <v/>
      </c>
      <c r="J61" s="418" t="n"/>
      <c r="K61" s="404" t="n"/>
      <c r="L61" s="418" t="n"/>
      <c r="M61" s="475">
        <f>HYPERLINK("https://www.youtube.com/watch?v=Alipj6tJKKI","Video Solution - Solver to be (Java)")</f>
        <v/>
      </c>
      <c r="N61" s="511" t="inlineStr">
        <is>
          <t>adhoc, NA</t>
        </is>
      </c>
      <c r="O61" s="488" t="n">
        <v>1</v>
      </c>
      <c r="P61" s="488" t="n">
        <v>1.5</v>
      </c>
    </row>
    <row r="62" ht="15.75" customHeight="1" s="279">
      <c r="A62" s="420" t="inlineStr">
        <is>
          <t>Young Physicist</t>
        </is>
      </c>
      <c r="B62" s="475">
        <f>HYPERLINK("http://codeforces.com/contest/69/problem/A","CF69-D2-A")</f>
        <v/>
      </c>
      <c r="C62" s="418" t="n"/>
      <c r="D62" s="418" t="n"/>
      <c r="E62" s="418" t="n"/>
      <c r="F62" s="418" t="n"/>
      <c r="G62" s="418" t="n"/>
      <c r="H62" s="418" t="n"/>
      <c r="I62" s="404">
        <f>SUM(E62:H62)</f>
        <v/>
      </c>
      <c r="J62" s="418" t="n"/>
      <c r="K62" s="404" t="n"/>
      <c r="L62" s="418" t="n"/>
      <c r="M62" s="475">
        <f>HYPERLINK("https://www.youtube.com/watch?v=L8pMTIq7DFM","Video Solution - Solver to be (Java)")</f>
        <v/>
      </c>
      <c r="N62" s="511" t="inlineStr">
        <is>
          <t>adhoc, NA</t>
        </is>
      </c>
      <c r="O62" s="488" t="n">
        <v>1</v>
      </c>
      <c r="P62" s="488" t="n">
        <v>1.5</v>
      </c>
    </row>
    <row r="63" ht="15.75" customHeight="1" s="279">
      <c r="A63" s="420" t="inlineStr">
        <is>
          <t>Launch of Collider</t>
        </is>
      </c>
      <c r="B63" s="475">
        <f>HYPERLINK("http://codeforces.com/contest/699/problem/A","CF699-D2-A")</f>
        <v/>
      </c>
      <c r="C63" s="418" t="n"/>
      <c r="D63" s="418" t="n"/>
      <c r="E63" s="418" t="n"/>
      <c r="F63" s="418" t="n"/>
      <c r="G63" s="418" t="n"/>
      <c r="H63" s="418" t="n"/>
      <c r="I63" s="404">
        <f>SUM(E63:H63)</f>
        <v/>
      </c>
      <c r="J63" s="451" t="n"/>
      <c r="K63" s="404" t="n"/>
      <c r="L63" s="451" t="n"/>
      <c r="M63" s="408">
        <f>HYPERLINK("https://www.youtube.com/watch?v=2xSkHmA5z8s","Video Solution - Eng Samed Hajajla")</f>
        <v/>
      </c>
      <c r="N63" s="511" t="inlineStr">
        <is>
          <t>adhoc, NA</t>
        </is>
      </c>
      <c r="O63" s="488" t="n">
        <v>1</v>
      </c>
      <c r="P63" s="488" t="n">
        <v>1.5</v>
      </c>
    </row>
    <row r="64" ht="15.75" customHeight="1" s="279">
      <c r="A64" s="420" t="inlineStr">
        <is>
          <t>Brain's Photos</t>
        </is>
      </c>
      <c r="B64" s="475">
        <f>HYPERLINK("http://codeforces.com/contest/707/problem/A","CF707-D2-A")</f>
        <v/>
      </c>
      <c r="C64" s="418" t="n"/>
      <c r="D64" s="418" t="n"/>
      <c r="E64" s="418" t="n"/>
      <c r="F64" s="418" t="n"/>
      <c r="G64" s="418" t="n"/>
      <c r="H64" s="418" t="n"/>
      <c r="I64" s="404">
        <f>SUM(E64:H64)</f>
        <v/>
      </c>
      <c r="J64" s="418" t="n"/>
      <c r="K64" s="404" t="n"/>
      <c r="L64" s="418" t="n"/>
      <c r="M64" s="475">
        <f>HYPERLINK("https://www.youtube.com/watch?v=cCraOn4wjAs","Video Solution - Solver to be (Java)")</f>
        <v/>
      </c>
      <c r="N64" s="511" t="inlineStr">
        <is>
          <t>adhoc, NA</t>
        </is>
      </c>
      <c r="O64" s="488" t="n">
        <v>1</v>
      </c>
      <c r="P64" s="488" t="n">
        <v>1.5</v>
      </c>
    </row>
    <row r="65" ht="15.75" customHeight="1" s="279">
      <c r="A65" s="420" t="inlineStr">
        <is>
          <t>Way Too Long Words</t>
        </is>
      </c>
      <c r="B65" s="475">
        <f>HYPERLINK("http://codeforces.com/contest/71/problem/A","CF71-D2-A")</f>
        <v/>
      </c>
      <c r="C65" s="418" t="n"/>
      <c r="D65" s="418" t="n"/>
      <c r="E65" s="418" t="n"/>
      <c r="F65" s="418" t="n"/>
      <c r="G65" s="418" t="n"/>
      <c r="H65" s="418" t="n"/>
      <c r="I65" s="404">
        <f>SUM(E65:H65)</f>
        <v/>
      </c>
      <c r="J65" s="418" t="n"/>
      <c r="K65" s="404" t="n"/>
      <c r="L65" s="418" t="n"/>
      <c r="M65" s="475">
        <f>HYPERLINK("https://www.youtube.com/watch?v=yuebR81LyXE","Video Solution - Solver to be (Java)")</f>
        <v/>
      </c>
      <c r="N65" s="511" t="inlineStr">
        <is>
          <t>adhoc, NA</t>
        </is>
      </c>
      <c r="O65" s="488" t="n">
        <v>1</v>
      </c>
      <c r="P65" s="488" t="n">
        <v>1.5</v>
      </c>
    </row>
    <row r="66" ht="15.75" customHeight="1" s="279">
      <c r="A66" s="420" t="inlineStr">
        <is>
          <t>Arpa’s hard exam and Mehrdad’s naive cheat</t>
        </is>
      </c>
      <c r="B66" s="475">
        <f>HYPERLINK("http://codeforces.com/contest/742/problem/A","CF742-D2-A")</f>
        <v/>
      </c>
      <c r="C66" s="418" t="n"/>
      <c r="D66" s="418" t="n"/>
      <c r="E66" s="418" t="n"/>
      <c r="F66" s="418" t="n"/>
      <c r="G66" s="418" t="n"/>
      <c r="H66" s="418" t="n"/>
      <c r="I66" s="404">
        <f>SUM(E66:H66)</f>
        <v/>
      </c>
      <c r="J66" s="418" t="n"/>
      <c r="K66" s="404" t="n"/>
      <c r="L66" s="418" t="n"/>
      <c r="M66" s="475">
        <f>HYPERLINK("https://www.youtube.com/watch?v=kdJGLjKy54o","Video Solution - Solver to be (Java)")</f>
        <v/>
      </c>
      <c r="N66" s="511" t="inlineStr">
        <is>
          <t>adhoc, NA</t>
        </is>
      </c>
      <c r="O66" s="488" t="n">
        <v>1</v>
      </c>
      <c r="P66" s="488" t="n">
        <v>1.5</v>
      </c>
    </row>
    <row r="67" ht="15.75" customHeight="1" s="279">
      <c r="A67" s="420" t="inlineStr">
        <is>
          <t>Mahmoud and Longest Uncommon Subsequence</t>
        </is>
      </c>
      <c r="B67" s="475">
        <f>HYPERLINK("http://codeforces.com/contest/766/problem/A","CF766-D2-A")</f>
        <v/>
      </c>
      <c r="C67" s="418" t="n"/>
      <c r="D67" s="418" t="n"/>
      <c r="E67" s="418" t="n"/>
      <c r="F67" s="418" t="n"/>
      <c r="G67" s="418" t="n"/>
      <c r="H67" s="418" t="n"/>
      <c r="I67" s="404">
        <f>SUM(E67:H67)</f>
        <v/>
      </c>
      <c r="J67" s="418" t="n"/>
      <c r="K67" s="404" t="n"/>
      <c r="L67" s="418" t="n"/>
      <c r="M67" s="475">
        <f>HYPERLINK("https://www.youtube.com/watch?v=nq66DIFAyhs","Video Solution - Solver to be (Java)")</f>
        <v/>
      </c>
      <c r="N67" s="511" t="inlineStr">
        <is>
          <t>adhoc, NA</t>
        </is>
      </c>
      <c r="O67" s="488" t="n">
        <v>1</v>
      </c>
      <c r="P67" s="488" t="n">
        <v>1.5</v>
      </c>
    </row>
    <row r="68" ht="15.75" customHeight="1" s="279">
      <c r="A68" s="420" t="inlineStr">
        <is>
          <t>Snacktower</t>
        </is>
      </c>
      <c r="B68" s="475">
        <f>HYPERLINK("http://codeforces.com/problemset/problem/767/A","CF767-D2-A")</f>
        <v/>
      </c>
      <c r="C68" s="418" t="n"/>
      <c r="D68" s="418" t="n"/>
      <c r="E68" s="418" t="n"/>
      <c r="F68" s="418" t="n"/>
      <c r="G68" s="418" t="n"/>
      <c r="H68" s="418" t="n"/>
      <c r="I68" s="404">
        <f>SUM(E68:H68)</f>
        <v/>
      </c>
      <c r="J68" s="418" t="n"/>
      <c r="K68" s="404" t="n"/>
      <c r="L68" s="418" t="n"/>
      <c r="M68" s="475">
        <f>HYPERLINK("https://www.youtube.com/watch?v=MVHuUdj_CWo","Video Solution - Solver to be (Java)")</f>
        <v/>
      </c>
      <c r="N68" s="511" t="inlineStr">
        <is>
          <t>adhoc, NA</t>
        </is>
      </c>
      <c r="O68" s="488" t="n">
        <v>1</v>
      </c>
      <c r="P68" s="488" t="n">
        <v>1.5</v>
      </c>
    </row>
    <row r="69" ht="15.75" customHeight="1" s="279">
      <c r="A69" s="420" t="inlineStr">
        <is>
          <t>Oath of the Night's Watch</t>
        </is>
      </c>
      <c r="B69" s="475">
        <f>HYPERLINK("http://codeforces.com/contest/768/problem/A","CF768-D2-A")</f>
        <v/>
      </c>
      <c r="C69" s="418" t="n"/>
      <c r="D69" s="418" t="n"/>
      <c r="E69" s="418" t="n"/>
      <c r="F69" s="418" t="n"/>
      <c r="G69" s="418" t="n"/>
      <c r="H69" s="418" t="n"/>
      <c r="I69" s="404">
        <f>SUM(E69:H69)</f>
        <v/>
      </c>
      <c r="J69" s="418" t="n"/>
      <c r="K69" s="404" t="n"/>
      <c r="L69" s="418" t="n"/>
      <c r="M69" s="475">
        <f>HYPERLINK("https://www.youtube.com/watch?v=4vBmYmqOoIk","Video Solution - Solver to be (Java)")</f>
        <v/>
      </c>
      <c r="N69" s="511" t="inlineStr">
        <is>
          <t>adhoc, NA</t>
        </is>
      </c>
      <c r="O69" s="488" t="n">
        <v>1</v>
      </c>
      <c r="P69" s="488" t="n">
        <v>1.5</v>
      </c>
    </row>
    <row r="70" ht="15.75" customHeight="1" s="279">
      <c r="A70" s="420" t="inlineStr">
        <is>
          <t>New Password</t>
        </is>
      </c>
      <c r="B70" s="475">
        <f>HYPERLINK("http://codeforces.com/contest/770/problem/A","CF770-D2-A")</f>
        <v/>
      </c>
      <c r="C70" s="418" t="n"/>
      <c r="D70" s="418" t="n"/>
      <c r="E70" s="418" t="n"/>
      <c r="F70" s="418" t="n"/>
      <c r="G70" s="418" t="n"/>
      <c r="H70" s="418" t="n"/>
      <c r="I70" s="404">
        <f>SUM(E70:H70)</f>
        <v/>
      </c>
      <c r="J70" s="418" t="n"/>
      <c r="K70" s="404" t="n"/>
      <c r="L70" s="418" t="n"/>
      <c r="M70" s="475">
        <f>HYPERLINK("https://www.youtube.com/watch?v=VDlquoqsOs","Video Solution - Solver to be (Java)")</f>
        <v/>
      </c>
      <c r="N70" s="511" t="inlineStr">
        <is>
          <t>adhoc, NA</t>
        </is>
      </c>
      <c r="O70" s="488" t="n">
        <v>1</v>
      </c>
      <c r="P70" s="488" t="n">
        <v>1.5</v>
      </c>
    </row>
    <row r="71" ht="15.75" customHeight="1" s="279">
      <c r="A71" s="420" t="inlineStr">
        <is>
          <t>Carrot Cakes</t>
        </is>
      </c>
      <c r="B71" s="475">
        <f>HYPERLINK("http://codeforces.com/contest/799/problem/A","CF799-D2-A")</f>
        <v/>
      </c>
      <c r="C71" s="418" t="n"/>
      <c r="D71" s="418" t="n"/>
      <c r="E71" s="418" t="n"/>
      <c r="F71" s="418" t="n"/>
      <c r="G71" s="418" t="n"/>
      <c r="H71" s="418" t="n"/>
      <c r="I71" s="404">
        <f>SUM(E71:H71)</f>
        <v/>
      </c>
      <c r="J71" s="418" t="n"/>
      <c r="K71" s="404" t="n"/>
      <c r="L71" s="418" t="n"/>
      <c r="M71" s="421">
        <f>HYPERLINK("https://www.youtube.com/watch?v=uyEL9f8pxlM","Video Solution - Solver to be (Java)")</f>
        <v/>
      </c>
      <c r="N71" s="511" t="inlineStr">
        <is>
          <t>adhoc, NA</t>
        </is>
      </c>
      <c r="O71" s="488" t="n">
        <v>1</v>
      </c>
      <c r="P71" s="488" t="n">
        <v>1.5</v>
      </c>
    </row>
    <row r="72" ht="15.75" customHeight="1" s="279">
      <c r="A72" s="420" t="inlineStr">
        <is>
          <t>Panoramix's Prediction</t>
        </is>
      </c>
      <c r="B72" s="475">
        <f>HYPERLINK("http://codeforces.com/contest/80/problem/A","CF80-D2-A")</f>
        <v/>
      </c>
      <c r="C72" s="418" t="n"/>
      <c r="D72" s="418" t="n"/>
      <c r="E72" s="418" t="n"/>
      <c r="F72" s="418" t="n"/>
      <c r="G72" s="418" t="n"/>
      <c r="H72" s="418" t="n"/>
      <c r="I72" s="404">
        <f>SUM(E72:H72)</f>
        <v/>
      </c>
      <c r="J72" s="418" t="n"/>
      <c r="K72" s="404" t="n"/>
      <c r="L72" s="418" t="n"/>
      <c r="M72" s="475">
        <f>HYPERLINK("https://www.youtube.com/watch?v=eBT7tgXcd2I","Video Solution - Solver to be (Java)")</f>
        <v/>
      </c>
      <c r="N72" s="511" t="inlineStr">
        <is>
          <t>adhoc, NA</t>
        </is>
      </c>
      <c r="O72" s="488" t="n">
        <v>1</v>
      </c>
      <c r="P72" s="488" t="n">
        <v>1.5</v>
      </c>
    </row>
    <row r="73" ht="15.75" customHeight="1" s="279">
      <c r="A73" s="420" t="inlineStr">
        <is>
          <t>Is it rated?</t>
        </is>
      </c>
      <c r="B73" s="475">
        <f>HYPERLINK("http://codeforces.com/contest/807/problem/A","CF807-D2-A")</f>
        <v/>
      </c>
      <c r="C73" s="418" t="n"/>
      <c r="D73" s="418" t="n"/>
      <c r="E73" s="418" t="n"/>
      <c r="F73" s="418" t="n"/>
      <c r="G73" s="418" t="n"/>
      <c r="H73" s="418" t="n"/>
      <c r="I73" s="404">
        <f>SUM(E73:H73)</f>
        <v/>
      </c>
      <c r="J73" s="418" t="n"/>
      <c r="K73" s="404" t="n"/>
      <c r="L73" s="418" t="n"/>
      <c r="M73" s="475">
        <f>HYPERLINK("https://www.youtube.com/watch?v=PU-Lg0gs6kY","Video Solution - Solver to be (Java)")</f>
        <v/>
      </c>
      <c r="N73" s="511" t="inlineStr">
        <is>
          <t>adhoc, NA</t>
        </is>
      </c>
      <c r="O73" s="488" t="n">
        <v>1</v>
      </c>
      <c r="P73" s="488" t="n">
        <v>1.5</v>
      </c>
    </row>
    <row r="74" ht="15.75" customHeight="1" s="279">
      <c r="A74" s="420" t="inlineStr">
        <is>
          <t>Die Roll</t>
        </is>
      </c>
      <c r="B74" s="475">
        <f>HYPERLINK("http://codeforces.com/contest/9/problem/A","CF9-D2-A")</f>
        <v/>
      </c>
      <c r="C74" s="418" t="n"/>
      <c r="D74" s="418" t="n"/>
      <c r="E74" s="418" t="n"/>
      <c r="F74" s="418" t="n"/>
      <c r="G74" s="418" t="n"/>
      <c r="H74" s="418" t="n"/>
      <c r="I74" s="404">
        <f>SUM(E74:H74)</f>
        <v/>
      </c>
      <c r="J74" s="418" t="n"/>
      <c r="K74" s="404" t="n"/>
      <c r="L74" s="418" t="n"/>
      <c r="M74" s="421">
        <f>HYPERLINK("https://www.youtube.com/watch?v=5T1yiz9-jZo","Video Solution - Eng Muntaser Abukadeja")</f>
        <v/>
      </c>
      <c r="N74" s="511" t="inlineStr">
        <is>
          <t>adhoc, NA</t>
        </is>
      </c>
      <c r="O74" s="488" t="n">
        <v>1</v>
      </c>
      <c r="P74" s="488" t="n">
        <v>1.5</v>
      </c>
    </row>
    <row r="75" ht="15.75" customHeight="1" s="279">
      <c r="A75" s="420" t="inlineStr">
        <is>
          <t>Electricity</t>
        </is>
      </c>
      <c r="B75" s="475">
        <f>HYPERLINK("https://uva.onlinejudge.org/index.php?option=onlinejudge&amp;page=show_problem&amp;problem=3300","UVA 12148")</f>
        <v/>
      </c>
      <c r="C75" s="418" t="n"/>
      <c r="D75" s="418" t="n"/>
      <c r="E75" s="418" t="n"/>
      <c r="F75" s="418" t="n"/>
      <c r="G75" s="418" t="n"/>
      <c r="H75" s="418" t="n"/>
      <c r="I75" s="404">
        <f>SUM(E75:H75)</f>
        <v/>
      </c>
      <c r="J75" s="418" t="n"/>
      <c r="K75" s="404" t="n"/>
      <c r="L75" s="418" t="n"/>
      <c r="M75" s="421">
        <f>HYPERLINK("https://github.com/juanplopes/icpc/blob/master/uva/12148.cpp","Learn Calender Leap Year")</f>
        <v/>
      </c>
      <c r="N75" s="488" t="inlineStr">
        <is>
          <t>adhoc, calender, leap year</t>
        </is>
      </c>
      <c r="O75" s="488" t="n">
        <v>1</v>
      </c>
      <c r="P75" s="488" t="n">
        <v>2</v>
      </c>
      <c r="Q75" s="297" t="inlineStr">
        <is>
          <t>p1</t>
        </is>
      </c>
    </row>
    <row r="76" ht="15.75" customHeight="1" s="279">
      <c r="A76" s="420" t="inlineStr">
        <is>
          <t>Final Standings</t>
        </is>
      </c>
      <c r="B76" s="475">
        <f>HYPERLINK("http://acm.timus.ru/problem.aspx?space=1&amp;num=1100","TIMUS 1100")</f>
        <v/>
      </c>
      <c r="C76" s="418" t="n"/>
      <c r="D76" s="418" t="n"/>
      <c r="E76" s="418" t="n"/>
      <c r="F76" s="418" t="n"/>
      <c r="G76" s="418" t="n"/>
      <c r="H76" s="418" t="n"/>
      <c r="I76" s="404">
        <f>SUM(E76:H76)</f>
        <v/>
      </c>
      <c r="J76" s="404" t="n"/>
      <c r="K76" s="404" t="n"/>
      <c r="L76" s="404" t="n"/>
      <c r="M76" s="408">
        <f>HYPERLINK("https://github.com/marioyc/Online-Judge-Solutions/blob/master/Timus%20Online%20Judge/1100%20-%20Final%20Standings.cpp","Stable sort exercise")</f>
        <v/>
      </c>
      <c r="N76" s="488" t="inlineStr">
        <is>
          <t>adhoc, stable sort</t>
        </is>
      </c>
      <c r="O76" s="488" t="n">
        <v>1</v>
      </c>
      <c r="P76" s="488" t="n">
        <v>2</v>
      </c>
      <c r="Q76" s="297" t="inlineStr">
        <is>
          <t>p1</t>
        </is>
      </c>
    </row>
    <row r="77" ht="15.75" customHeight="1" s="279">
      <c r="A77" s="420" t="inlineStr">
        <is>
          <t>President's Office</t>
        </is>
      </c>
      <c r="B77" s="475">
        <f>HYPERLINK("http://codeforces.com/contest/6/problem/B","CF6-D2-B")</f>
        <v/>
      </c>
      <c r="C77" s="418" t="n"/>
      <c r="D77" s="418" t="n"/>
      <c r="E77" s="418" t="n"/>
      <c r="F77" s="418" t="n"/>
      <c r="G77" s="418" t="n"/>
      <c r="H77" s="418" t="n"/>
      <c r="I77" s="404">
        <f>SUM(E77:H77)</f>
        <v/>
      </c>
      <c r="J77" s="404" t="n"/>
      <c r="K77" s="404" t="n"/>
      <c r="L77" s="418" t="n"/>
      <c r="M77" s="475">
        <f>HYPERLINK("https://www.youtube.com/watch?v=FTM7HQahAc8&amp;feature=youtu.be","Video Solution - Eng Muntaser Abukadeja")</f>
        <v/>
      </c>
      <c r="N77" s="488" t="inlineStr">
        <is>
          <t>adhoc, stl</t>
        </is>
      </c>
      <c r="O77" s="488" t="n">
        <v>1</v>
      </c>
      <c r="P77" s="488" t="n">
        <v>2</v>
      </c>
    </row>
    <row r="78" ht="15.75" customHeight="1" s="279">
      <c r="A78" s="420" t="inlineStr">
        <is>
          <t>Sum of Digits</t>
        </is>
      </c>
      <c r="B78" s="475">
        <f>HYPERLINK("http://codeforces.com/contest/102/problem/B","CF102-D2-B")</f>
        <v/>
      </c>
      <c r="C78" s="418" t="n"/>
      <c r="D78" s="418" t="n"/>
      <c r="E78" s="418" t="n"/>
      <c r="F78" s="418" t="n"/>
      <c r="G78" s="418" t="n"/>
      <c r="H78" s="418" t="n"/>
      <c r="I78" s="404">
        <f>SUM(E78:H78)</f>
        <v/>
      </c>
      <c r="J78" s="404" t="n"/>
      <c r="K78" s="404" t="n"/>
      <c r="L78" s="418" t="n"/>
      <c r="M78" s="475">
        <f>HYPERLINK("https://www.youtube.com/watch?v=_qdIm9Yj9_U","Video Solution - Eng Muntaser Abukadeja")</f>
        <v/>
      </c>
      <c r="N78" s="511" t="inlineStr">
        <is>
          <t>adhoc, NA</t>
        </is>
      </c>
      <c r="O78" s="488" t="n">
        <v>1</v>
      </c>
      <c r="P78" s="488" t="n">
        <v>2</v>
      </c>
    </row>
    <row r="79" ht="15.75" customHeight="1" s="279">
      <c r="A79" s="420" t="inlineStr">
        <is>
          <t>Meeting</t>
        </is>
      </c>
      <c r="B79" s="475">
        <f>HYPERLINK("http://codeforces.com/contest/144/problem/B","CF144-D2-B")</f>
        <v/>
      </c>
      <c r="C79" s="418" t="n"/>
      <c r="D79" s="418" t="n"/>
      <c r="E79" s="418" t="n"/>
      <c r="F79" s="418" t="n"/>
      <c r="G79" s="418" t="n"/>
      <c r="H79" s="418" t="n"/>
      <c r="I79" s="404">
        <f>SUM(E79:H79)</f>
        <v/>
      </c>
      <c r="J79" s="404" t="n"/>
      <c r="K79" s="404" t="n"/>
      <c r="L79" s="418" t="n"/>
      <c r="M79" s="475">
        <f>HYPERLINK("https://www.youtube.com/watch?v=9fpKWAPudyo&amp;feature=youtu.be","Video Solution - Eng Muntaser Abukadeja")</f>
        <v/>
      </c>
      <c r="N79" s="511" t="inlineStr">
        <is>
          <t>adhoc, NA</t>
        </is>
      </c>
      <c r="O79" s="488" t="n">
        <v>1</v>
      </c>
      <c r="P79" s="488" t="n">
        <v>2</v>
      </c>
    </row>
    <row r="80" ht="15.75" customHeight="1" s="279">
      <c r="A80" s="420" t="inlineStr">
        <is>
          <t>Steps</t>
        </is>
      </c>
      <c r="B80" s="475">
        <f>HYPERLINK("http://codeforces.com/contest/152/problem/B","CF152-D2-B")</f>
        <v/>
      </c>
      <c r="C80" s="418" t="n"/>
      <c r="D80" s="418" t="n"/>
      <c r="E80" s="418" t="n"/>
      <c r="F80" s="418" t="n"/>
      <c r="G80" s="418" t="n"/>
      <c r="H80" s="418" t="n"/>
      <c r="I80" s="404">
        <f>SUM(E80:H80)</f>
        <v/>
      </c>
      <c r="J80" s="404" t="n"/>
      <c r="K80" s="404" t="n"/>
      <c r="L80" s="418" t="n"/>
      <c r="M80" s="475">
        <f>HYPERLINK("https://www.youtube.com/watch?v=PNB_OSbdCpQ&amp;feature=youtu.be","Video Solution - Eng Muntaser Abukadeja")</f>
        <v/>
      </c>
      <c r="N80" s="511" t="inlineStr">
        <is>
          <t>adhoc, NA</t>
        </is>
      </c>
      <c r="O80" s="488" t="n">
        <v>1</v>
      </c>
      <c r="P80" s="488" t="n">
        <v>2</v>
      </c>
    </row>
    <row r="81" ht="15.75" customHeight="1" s="279">
      <c r="A81" s="420" t="inlineStr">
        <is>
          <t>Burglar and Matches</t>
        </is>
      </c>
      <c r="B81" s="475">
        <f>HYPERLINK("http://codeforces.com/contest/16/problem/B","CF16-D2-B")</f>
        <v/>
      </c>
      <c r="C81" s="418" t="n"/>
      <c r="D81" s="418" t="n"/>
      <c r="E81" s="418" t="n"/>
      <c r="F81" s="418" t="n"/>
      <c r="G81" s="418" t="n"/>
      <c r="H81" s="418" t="n"/>
      <c r="I81" s="404">
        <f>SUM(E81:H81)</f>
        <v/>
      </c>
      <c r="J81" s="404" t="n"/>
      <c r="K81" s="404" t="n"/>
      <c r="L81" s="418" t="n"/>
      <c r="M81" s="475">
        <f>HYPERLINK("https://www.youtube.com/watch?v=eDg_yuWBS8o&amp;feature=youtu.be","Video Solution - Eng Muntaser Abukadeja")</f>
        <v/>
      </c>
      <c r="N81" s="511" t="inlineStr">
        <is>
          <t>adhoc, NA</t>
        </is>
      </c>
      <c r="O81" s="488" t="n">
        <v>1</v>
      </c>
      <c r="P81" s="488" t="n">
        <v>2</v>
      </c>
    </row>
    <row r="82" ht="15.75" customHeight="1" s="279">
      <c r="A82" s="420" t="inlineStr">
        <is>
          <t>Growing Mushrooms</t>
        </is>
      </c>
      <c r="B82" s="475">
        <f>HYPERLINK("http://codeforces.com/contest/186/problem/B","CF186-D2-B")</f>
        <v/>
      </c>
      <c r="C82" s="418" t="n"/>
      <c r="D82" s="418" t="n"/>
      <c r="E82" s="418" t="n"/>
      <c r="F82" s="418" t="n"/>
      <c r="G82" s="418" t="n"/>
      <c r="H82" s="418" t="n"/>
      <c r="I82" s="404">
        <f>SUM(E82:H82)</f>
        <v/>
      </c>
      <c r="J82" s="404" t="n"/>
      <c r="K82" s="404" t="n"/>
      <c r="L82" s="418" t="n"/>
      <c r="M82" s="475">
        <f>HYPERLINK("https://www.youtube.com/watch?v=WdzdNdsaku4","Video Solution - Eng Mohamed Salah")</f>
        <v/>
      </c>
      <c r="N82" s="511" t="inlineStr">
        <is>
          <t>adhoc, NA</t>
        </is>
      </c>
      <c r="O82" s="488" t="n">
        <v>1</v>
      </c>
      <c r="P82" s="488" t="n">
        <v>2</v>
      </c>
    </row>
    <row r="83" ht="15.75" customHeight="1" s="279">
      <c r="A83" s="420" t="inlineStr">
        <is>
          <t>Olympic Medal</t>
        </is>
      </c>
      <c r="B83" s="475">
        <f>HYPERLINK("http://codeforces.com/contest/215/problem/B","CF215-D2-B")</f>
        <v/>
      </c>
      <c r="C83" s="418" t="n"/>
      <c r="D83" s="418" t="n"/>
      <c r="E83" s="418" t="n"/>
      <c r="F83" s="418" t="n"/>
      <c r="G83" s="418" t="n"/>
      <c r="H83" s="418" t="n"/>
      <c r="I83" s="404">
        <f>SUM(E83:H83)</f>
        <v/>
      </c>
      <c r="J83" s="404" t="n"/>
      <c r="K83" s="404" t="n"/>
      <c r="L83" s="418" t="n"/>
      <c r="M83" s="421">
        <f>HYPERLINK("https://www.youtube.com/watch?v=9PMRkDH1SAY&amp;t=4s","Video Solution - Eng Ahmed Salah")</f>
        <v/>
      </c>
      <c r="N83" s="511" t="inlineStr">
        <is>
          <t>adhoc, NA</t>
        </is>
      </c>
      <c r="O83" s="488" t="n">
        <v>1</v>
      </c>
      <c r="P83" s="488" t="n">
        <v>2</v>
      </c>
    </row>
    <row r="84" ht="15.75" customHeight="1" s="279">
      <c r="A84" s="420" t="inlineStr">
        <is>
          <t>Effective Approach</t>
        </is>
      </c>
      <c r="B84" s="475">
        <f>HYPERLINK("http://codeforces.com/contest/227/problem/B","CF227-D2-B")</f>
        <v/>
      </c>
      <c r="C84" s="418" t="n"/>
      <c r="D84" s="418" t="n"/>
      <c r="E84" s="418" t="n"/>
      <c r="F84" s="418" t="n"/>
      <c r="G84" s="418" t="n"/>
      <c r="H84" s="418" t="n"/>
      <c r="I84" s="404">
        <f>SUM(E84:H84)</f>
        <v/>
      </c>
      <c r="J84" s="404" t="n"/>
      <c r="K84" s="404" t="n"/>
      <c r="L84" s="418" t="n"/>
      <c r="M84" s="475">
        <f>HYPERLINK("https://www.youtube.com/watch?v=76gg4S0A2nk","Video Solution - Eng Abanob Ashraf")</f>
        <v/>
      </c>
      <c r="N84" s="511" t="inlineStr">
        <is>
          <t>adhoc, NA</t>
        </is>
      </c>
      <c r="O84" s="488" t="n">
        <v>1</v>
      </c>
      <c r="P84" s="488" t="n">
        <v>2</v>
      </c>
    </row>
    <row r="85" ht="15.75" customHeight="1" s="279">
      <c r="A85" s="420" t="inlineStr">
        <is>
          <t>Roma and Changing Signs</t>
        </is>
      </c>
      <c r="B85" s="475">
        <f>HYPERLINK("http://codeforces.com/contest/262/problem/B","CF262-D2-B")</f>
        <v/>
      </c>
      <c r="C85" s="418" t="n"/>
      <c r="D85" s="418" t="n"/>
      <c r="E85" s="418" t="n"/>
      <c r="F85" s="418" t="n"/>
      <c r="G85" s="418" t="n"/>
      <c r="H85" s="418" t="n"/>
      <c r="I85" s="404">
        <f>SUM(E85:H85)</f>
        <v/>
      </c>
      <c r="J85" s="404" t="n"/>
      <c r="K85" s="404" t="n"/>
      <c r="L85" s="418" t="n"/>
      <c r="M85" s="475">
        <f>HYPERLINK("https://www.youtube.com/watch?v=6Ic_MPWfhEg","Video Solution - Eng Mohamed Salah")</f>
        <v/>
      </c>
      <c r="N85" s="511" t="inlineStr">
        <is>
          <t>adhoc, NA</t>
        </is>
      </c>
      <c r="O85" s="488" t="n">
        <v>1</v>
      </c>
      <c r="P85" s="488" t="n">
        <v>2</v>
      </c>
    </row>
    <row r="86" ht="15.75" customHeight="1" s="279">
      <c r="A86" s="420" t="inlineStr">
        <is>
          <t>Routine Problem</t>
        </is>
      </c>
      <c r="B86" s="475">
        <f>HYPERLINK("http://codeforces.com/contest/337/problem/B","CF337-D2-B")</f>
        <v/>
      </c>
      <c r="C86" s="418" t="n"/>
      <c r="D86" s="418" t="n"/>
      <c r="E86" s="418" t="n"/>
      <c r="F86" s="418" t="n"/>
      <c r="G86" s="418" t="n"/>
      <c r="H86" s="418" t="n"/>
      <c r="I86" s="404">
        <f>SUM(E86:H86)</f>
        <v/>
      </c>
      <c r="J86" s="404" t="n"/>
      <c r="K86" s="404" t="n"/>
      <c r="L86" s="418" t="n"/>
      <c r="M86" s="493">
        <f>HYPERLINK("https://www.youtube.com/watch?v=NaB4pnNbXEY","Video Solution - Eng Mohamed Adel")</f>
        <v/>
      </c>
      <c r="N86" s="511" t="inlineStr">
        <is>
          <t>adhoc, NA</t>
        </is>
      </c>
      <c r="O86" s="488" t="n">
        <v>1</v>
      </c>
      <c r="P86" s="488" t="n">
        <v>2</v>
      </c>
    </row>
    <row r="87" ht="15.75" customHeight="1" s="279">
      <c r="A87" s="420" t="inlineStr">
        <is>
          <t>Jeff and Periods</t>
        </is>
      </c>
      <c r="B87" s="475">
        <f>HYPERLINK("http://codeforces.com/contest/352/problem/B","CF352-D2-B")</f>
        <v/>
      </c>
      <c r="C87" s="418" t="n"/>
      <c r="D87" s="418" t="n"/>
      <c r="E87" s="418" t="n"/>
      <c r="F87" s="418" t="n"/>
      <c r="G87" s="418" t="n"/>
      <c r="H87" s="418" t="n"/>
      <c r="I87" s="404">
        <f>SUM(E87:H87)</f>
        <v/>
      </c>
      <c r="J87" s="404" t="n"/>
      <c r="K87" s="404" t="n"/>
      <c r="L87" s="418" t="n"/>
      <c r="M87" s="475">
        <f>HYPERLINK("https://www.youtube.com/watch?v=7xgzxrYuwUc","Video Solution - Eng Muntaser Abukadeja")</f>
        <v/>
      </c>
      <c r="N87" s="511" t="inlineStr">
        <is>
          <t>adhoc, NA</t>
        </is>
      </c>
      <c r="O87" s="488" t="n">
        <v>1</v>
      </c>
      <c r="P87" s="488" t="n">
        <v>2</v>
      </c>
    </row>
    <row r="88" ht="15.75" customHeight="1" s="279">
      <c r="A88" s="420" t="inlineStr">
        <is>
          <t>I.O.U.</t>
        </is>
      </c>
      <c r="B88" s="475">
        <f>HYPERLINK("http://codeforces.com/contest/376/problem/B","CF376-D2-B")</f>
        <v/>
      </c>
      <c r="C88" s="418" t="n"/>
      <c r="D88" s="418" t="n"/>
      <c r="E88" s="418" t="n"/>
      <c r="F88" s="418" t="n"/>
      <c r="G88" s="418" t="n"/>
      <c r="H88" s="418" t="n"/>
      <c r="I88" s="404">
        <f>SUM(E88:H88)</f>
        <v/>
      </c>
      <c r="J88" s="404" t="n"/>
      <c r="K88" s="404" t="n"/>
      <c r="L88" s="418" t="n"/>
      <c r="M88" s="475">
        <f>HYPERLINK("https://www.youtube.com/watch?v=d962qNWSvas&amp;feature=youtu.be","Video Solution - Eng Abanob Ashraf")</f>
        <v/>
      </c>
      <c r="N88" s="511" t="inlineStr">
        <is>
          <t>adhoc, NA</t>
        </is>
      </c>
      <c r="O88" s="488" t="n">
        <v>1</v>
      </c>
      <c r="P88" s="488" t="n">
        <v>2</v>
      </c>
    </row>
    <row r="89" ht="15.75" customHeight="1" s="279">
      <c r="A89" s="420" t="inlineStr">
        <is>
          <t>Multitasking</t>
        </is>
      </c>
      <c r="B89" s="475">
        <f>HYPERLINK("http://codeforces.com/contest/384/problem/B","CF384-D2-B")</f>
        <v/>
      </c>
      <c r="C89" s="418" t="n"/>
      <c r="D89" s="418" t="n"/>
      <c r="E89" s="418" t="n"/>
      <c r="F89" s="418" t="n"/>
      <c r="G89" s="418" t="n"/>
      <c r="H89" s="418" t="n"/>
      <c r="I89" s="404">
        <f>SUM(E89:H89)</f>
        <v/>
      </c>
      <c r="J89" s="404" t="n"/>
      <c r="K89" s="404" t="n"/>
      <c r="L89" s="418" t="n"/>
      <c r="M89" s="420" t="n"/>
      <c r="N89" s="511" t="inlineStr">
        <is>
          <t>adhoc, NA</t>
        </is>
      </c>
      <c r="O89" s="488" t="n">
        <v>1</v>
      </c>
      <c r="P89" s="488" t="n">
        <v>2</v>
      </c>
    </row>
    <row r="90" ht="15.75" customHeight="1" s="279">
      <c r="A90" s="420" t="inlineStr">
        <is>
          <t>Bear and Strings</t>
        </is>
      </c>
      <c r="B90" s="475">
        <f>HYPERLINK("http://codeforces.com/contest/385/problem/B","CF385-D2-B")</f>
        <v/>
      </c>
      <c r="C90" s="418" t="n"/>
      <c r="D90" s="418" t="n"/>
      <c r="E90" s="418" t="n"/>
      <c r="F90" s="418" t="n"/>
      <c r="G90" s="418" t="n"/>
      <c r="H90" s="418" t="n"/>
      <c r="I90" s="404">
        <f>SUM(E90:H90)</f>
        <v/>
      </c>
      <c r="J90" s="404" t="n"/>
      <c r="K90" s="404" t="n"/>
      <c r="L90" s="418" t="n"/>
      <c r="M90" s="475">
        <f>HYPERLINK("https://www.youtube.com/watch?v=hTUYMzcMuvA","Video Solution - Eng Mohamed Salah")</f>
        <v/>
      </c>
      <c r="N90" s="511" t="inlineStr">
        <is>
          <t>adhoc, NA</t>
        </is>
      </c>
      <c r="O90" s="488" t="n">
        <v>1</v>
      </c>
      <c r="P90" s="488" t="n">
        <v>2</v>
      </c>
    </row>
    <row r="91" ht="15.75" customHeight="1" s="279">
      <c r="A91" s="420" t="inlineStr">
        <is>
          <t>Inna and New Matrix of Candies</t>
        </is>
      </c>
      <c r="B91" s="475">
        <f>HYPERLINK("http://codeforces.com/contest/400/problem/B","CF400-D2-B")</f>
        <v/>
      </c>
      <c r="C91" s="418" t="n"/>
      <c r="D91" s="418" t="n"/>
      <c r="E91" s="418" t="n"/>
      <c r="F91" s="418" t="n"/>
      <c r="G91" s="418" t="n"/>
      <c r="H91" s="418" t="n"/>
      <c r="I91" s="404">
        <f>SUM(E91:H91)</f>
        <v/>
      </c>
      <c r="J91" s="404" t="n"/>
      <c r="K91" s="404" t="n"/>
      <c r="L91" s="418" t="n"/>
      <c r="M91" s="475">
        <f>HYPERLINK("https://www.youtube.com/watch?v=ZWL57YYKwUM&amp;t=1s","Video Solution - Eng Mohamed Salah")</f>
        <v/>
      </c>
      <c r="N91" s="511" t="inlineStr">
        <is>
          <t>adhoc, NA</t>
        </is>
      </c>
      <c r="O91" s="488" t="n">
        <v>1</v>
      </c>
      <c r="P91" s="488" t="n">
        <v>2</v>
      </c>
    </row>
    <row r="92" ht="15.75" customHeight="1" s="279">
      <c r="A92" s="420" t="inlineStr">
        <is>
          <t>Mashmokh and Tokens</t>
        </is>
      </c>
      <c r="B92" s="475">
        <f>HYPERLINK("http://codeforces.com/contest/415/problem/B","CF415-D2-B")</f>
        <v/>
      </c>
      <c r="C92" s="418" t="n"/>
      <c r="D92" s="418" t="n"/>
      <c r="E92" s="418" t="n"/>
      <c r="F92" s="418" t="n"/>
      <c r="G92" s="418" t="n"/>
      <c r="H92" s="418" t="n"/>
      <c r="I92" s="404">
        <f>SUM(E92:H92)</f>
        <v/>
      </c>
      <c r="J92" s="404" t="n"/>
      <c r="K92" s="404" t="n"/>
      <c r="L92" s="418" t="n"/>
      <c r="M92" s="475">
        <f>HYPERLINK("https://www.youtube.com/watch?v=ZNxSTHmpLGc&amp;feature=youtu.be","Video Solution - Eng Salma Yehia")</f>
        <v/>
      </c>
      <c r="N92" s="511" t="inlineStr">
        <is>
          <t>adhoc, NA</t>
        </is>
      </c>
      <c r="O92" s="488" t="n">
        <v>1</v>
      </c>
      <c r="P92" s="488" t="n">
        <v>2</v>
      </c>
    </row>
    <row r="93" ht="15.75" customHeight="1" s="279">
      <c r="A93" s="420" t="inlineStr">
        <is>
          <t>Pasha Maximizes</t>
        </is>
      </c>
      <c r="B93" s="475">
        <f>HYPERLINK("http://codeforces.com/contest/435/problem/B","CF435-D2-B")</f>
        <v/>
      </c>
      <c r="C93" s="418" t="n"/>
      <c r="D93" s="418" t="n"/>
      <c r="E93" s="418" t="n"/>
      <c r="F93" s="418" t="n"/>
      <c r="G93" s="418" t="n"/>
      <c r="H93" s="418" t="n"/>
      <c r="I93" s="404">
        <f>SUM(E93:H93)</f>
        <v/>
      </c>
      <c r="J93" s="404" t="n"/>
      <c r="K93" s="404" t="n"/>
      <c r="L93" s="418" t="n"/>
      <c r="M93" s="475">
        <f>HYPERLINK("https://www.youtube.com/watch?v=hDsuoSTdytw&amp;feature=youtu.be","Video Solution - Eng Hossam Yehia")</f>
        <v/>
      </c>
      <c r="N93" s="511" t="inlineStr">
        <is>
          <t>adhoc, NA</t>
        </is>
      </c>
      <c r="O93" s="488" t="n">
        <v>1</v>
      </c>
      <c r="P93" s="488" t="n">
        <v>2</v>
      </c>
    </row>
    <row r="94" ht="15.75" customHeight="1" s="279">
      <c r="A94" s="420" t="inlineStr">
        <is>
          <t>DZY Loves Chemistry</t>
        </is>
      </c>
      <c r="B94" s="475">
        <f>HYPERLINK("http://codeforces.com/contest/445/problem/B","CF445-D2-B")</f>
        <v/>
      </c>
      <c r="C94" s="418" t="n"/>
      <c r="D94" s="418" t="n"/>
      <c r="E94" s="418" t="n"/>
      <c r="F94" s="418" t="n"/>
      <c r="G94" s="418" t="n"/>
      <c r="H94" s="418" t="n"/>
      <c r="I94" s="404">
        <f>SUM(E94:H94)</f>
        <v/>
      </c>
      <c r="J94" s="404" t="n"/>
      <c r="K94" s="404" t="n"/>
      <c r="L94" s="418" t="n"/>
      <c r="M94" s="417" t="inlineStr">
        <is>
          <t>Video Solution - Eng Hussein Hesham</t>
        </is>
      </c>
      <c r="N94" s="511" t="inlineStr">
        <is>
          <t>adhoc, NA</t>
        </is>
      </c>
      <c r="O94" s="488" t="n">
        <v>1</v>
      </c>
      <c r="P94" s="488" t="n">
        <v>2</v>
      </c>
    </row>
    <row r="95" ht="15.75" customHeight="1" s="279">
      <c r="A95" s="420" t="inlineStr">
        <is>
          <t>Suffix Structures</t>
        </is>
      </c>
      <c r="B95" s="475">
        <f>HYPERLINK("http://codeforces.com/contest/448/problem/B","CF448-D2-B")</f>
        <v/>
      </c>
      <c r="C95" s="418" t="n"/>
      <c r="D95" s="418" t="n"/>
      <c r="E95" s="418" t="n"/>
      <c r="F95" s="418" t="n"/>
      <c r="G95" s="418" t="n"/>
      <c r="H95" s="418" t="n"/>
      <c r="I95" s="404">
        <f>SUM(E95:H95)</f>
        <v/>
      </c>
      <c r="J95" s="404" t="n"/>
      <c r="K95" s="404" t="n"/>
      <c r="L95" s="418" t="n"/>
      <c r="M95" s="475">
        <f>HYPERLINK("https://www.youtube.com/watch?v=-J0VaYdgbRc","Video Solution - Eng Mohamed Salah")</f>
        <v/>
      </c>
      <c r="N95" s="511" t="inlineStr">
        <is>
          <t>adhoc, NA</t>
        </is>
      </c>
      <c r="O95" s="488" t="n">
        <v>1</v>
      </c>
      <c r="P95" s="488" t="n">
        <v>2</v>
      </c>
    </row>
    <row r="96" ht="15.75" customHeight="1" s="279">
      <c r="A96" s="420" t="inlineStr">
        <is>
          <t>Chat Online</t>
        </is>
      </c>
      <c r="B96" s="475">
        <f>HYPERLINK("http://codeforces.com/contest/469/problem/B","CF469-D2-B")</f>
        <v/>
      </c>
      <c r="C96" s="418" t="n"/>
      <c r="D96" s="418" t="n"/>
      <c r="E96" s="418" t="n"/>
      <c r="F96" s="418" t="n"/>
      <c r="G96" s="418" t="n"/>
      <c r="H96" s="418" t="n"/>
      <c r="I96" s="404">
        <f>SUM(E96:H96)</f>
        <v/>
      </c>
      <c r="J96" s="404" t="n"/>
      <c r="K96" s="404" t="n"/>
      <c r="L96" s="418" t="n"/>
      <c r="M96" s="475">
        <f>HYPERLINK("https://www.youtube.com/watch?v=7ns-xfWB-8g","Video Solution - Eng Mohamed Adel")</f>
        <v/>
      </c>
      <c r="N96" s="511" t="inlineStr">
        <is>
          <t>adhoc, NA</t>
        </is>
      </c>
      <c r="O96" s="488" t="n">
        <v>1</v>
      </c>
      <c r="P96" s="488" t="n">
        <v>2</v>
      </c>
    </row>
    <row r="97" ht="15.75" customHeight="1" s="279">
      <c r="A97" s="420" t="inlineStr">
        <is>
          <t>Coins</t>
        </is>
      </c>
      <c r="B97" s="475">
        <f>HYPERLINK("http://codeforces.com/contest/47/problem/B","CF47-D2-B")</f>
        <v/>
      </c>
      <c r="C97" s="418" t="n"/>
      <c r="D97" s="418" t="n"/>
      <c r="E97" s="418" t="n"/>
      <c r="F97" s="418" t="n"/>
      <c r="G97" s="418" t="n"/>
      <c r="H97" s="418" t="n"/>
      <c r="I97" s="404">
        <f>SUM(E97:H97)</f>
        <v/>
      </c>
      <c r="J97" s="404" t="n"/>
      <c r="K97" s="404" t="n"/>
      <c r="L97" s="418" t="n"/>
      <c r="M97" s="475">
        <f>HYPERLINK("https://www.youtube.com/watch?v=lvK0ZlpWeEY&amp;feature=youtu.be","Video Solution - Eng Samed Hajajla")</f>
        <v/>
      </c>
      <c r="N97" s="511" t="inlineStr">
        <is>
          <t>adhoc, NA</t>
        </is>
      </c>
      <c r="O97" s="488" t="n">
        <v>1</v>
      </c>
      <c r="P97" s="488" t="n">
        <v>2</v>
      </c>
    </row>
    <row r="98" ht="15.75" customHeight="1" s="279">
      <c r="A98" s="420" t="inlineStr">
        <is>
          <t>OR in Matrix</t>
        </is>
      </c>
      <c r="B98" s="475">
        <f>HYPERLINK("http://codeforces.com/contest/486/problem/B","CF486-D2-B")</f>
        <v/>
      </c>
      <c r="C98" s="418" t="n"/>
      <c r="D98" s="418" t="n"/>
      <c r="E98" s="418" t="n"/>
      <c r="F98" s="418" t="n"/>
      <c r="G98" s="418" t="n"/>
      <c r="H98" s="418" t="n"/>
      <c r="I98" s="404">
        <f>SUM(E98:H98)</f>
        <v/>
      </c>
      <c r="J98" s="404" t="n"/>
      <c r="K98" s="404" t="n"/>
      <c r="L98" s="418" t="n"/>
      <c r="M98" s="488" t="n"/>
      <c r="N98" s="511" t="inlineStr">
        <is>
          <t>adhoc, NA</t>
        </is>
      </c>
      <c r="O98" s="488" t="n">
        <v>1</v>
      </c>
      <c r="P98" s="488" t="n">
        <v>2</v>
      </c>
    </row>
    <row r="99" ht="15.75" customHeight="1" s="279">
      <c r="A99" s="420" t="inlineStr">
        <is>
          <t>Vasya and Wrestling</t>
        </is>
      </c>
      <c r="B99" s="475">
        <f>HYPERLINK("http://codeforces.com/contest/493/problem/B","CF493-D2-B")</f>
        <v/>
      </c>
      <c r="C99" s="418" t="n"/>
      <c r="D99" s="418" t="n"/>
      <c r="E99" s="418" t="n"/>
      <c r="F99" s="418" t="n"/>
      <c r="G99" s="418" t="n"/>
      <c r="H99" s="418" t="n"/>
      <c r="I99" s="404">
        <f>SUM(E99:H99)</f>
        <v/>
      </c>
      <c r="J99" s="404" t="n"/>
      <c r="K99" s="404" t="n"/>
      <c r="L99" s="418" t="n"/>
      <c r="M99" s="488" t="n"/>
      <c r="N99" s="511" t="inlineStr">
        <is>
          <t>adhoc, NA</t>
        </is>
      </c>
      <c r="O99" s="488" t="n">
        <v>1</v>
      </c>
      <c r="P99" s="488" t="n">
        <v>2</v>
      </c>
    </row>
    <row r="100" ht="15.75" customHeight="1" s="279">
      <c r="A100" s="420" t="inlineStr">
        <is>
          <t>Secret Combination</t>
        </is>
      </c>
      <c r="B100" s="475">
        <f>HYPERLINK("http://codeforces.com/contest/496/problem/B","CF496-D2-B")</f>
        <v/>
      </c>
      <c r="C100" s="418" t="n"/>
      <c r="D100" s="418" t="n"/>
      <c r="E100" s="418" t="n"/>
      <c r="F100" s="418" t="n"/>
      <c r="G100" s="418" t="n"/>
      <c r="H100" s="418" t="n"/>
      <c r="I100" s="404">
        <f>SUM(E100:H100)</f>
        <v/>
      </c>
      <c r="J100" s="404" t="n"/>
      <c r="K100" s="404" t="n"/>
      <c r="L100" s="418" t="n"/>
      <c r="M100" s="420" t="n"/>
      <c r="N100" s="511" t="inlineStr">
        <is>
          <t>adhoc, NA</t>
        </is>
      </c>
      <c r="O100" s="488" t="n">
        <v>1</v>
      </c>
      <c r="P100" s="488" t="n">
        <v>2</v>
      </c>
    </row>
    <row r="101" ht="23.25" customHeight="1" s="279">
      <c r="A101" s="420" t="inlineStr">
        <is>
          <t>Mr. Kitayuta's Colorful Graph</t>
        </is>
      </c>
      <c r="B101" s="475">
        <f>HYPERLINK("http://codeforces.com/contest/505/problem/B","CF505-D2-B")</f>
        <v/>
      </c>
      <c r="C101" s="418" t="n"/>
      <c r="D101" s="418" t="n"/>
      <c r="E101" s="418" t="n"/>
      <c r="F101" s="418" t="n"/>
      <c r="G101" s="418" t="n"/>
      <c r="H101" s="418" t="n"/>
      <c r="I101" s="404">
        <f>SUM(E101:H101)</f>
        <v/>
      </c>
      <c r="J101" s="418" t="n"/>
      <c r="K101" s="418" t="n"/>
      <c r="L101" s="418" t="n"/>
      <c r="M101" s="475">
        <f>HYPERLINK("https://www.youtube.com/watch?v=4516VTXcDJM&amp;feature=youtu.be","Video Solution - Eng Muntaser Abukadeja")</f>
        <v/>
      </c>
      <c r="N101" s="511" t="inlineStr">
        <is>
          <t>adhoc, NA</t>
        </is>
      </c>
      <c r="O101" s="488" t="n">
        <v>1</v>
      </c>
      <c r="P101" s="488" t="n">
        <v>2</v>
      </c>
    </row>
    <row r="102" ht="15.75" customHeight="1" s="279">
      <c r="A102" s="420" t="inlineStr">
        <is>
          <t>Fox And Two Dots</t>
        </is>
      </c>
      <c r="B102" s="475">
        <f>HYPERLINK("http://codeforces.com/contest/510/problem/B","CF510-D2-B")</f>
        <v/>
      </c>
      <c r="C102" s="418" t="n"/>
      <c r="D102" s="418" t="n"/>
      <c r="E102" s="418" t="n"/>
      <c r="F102" s="418" t="n"/>
      <c r="G102" s="418" t="n"/>
      <c r="H102" s="418" t="n"/>
      <c r="I102" s="404">
        <f>SUM(E102:H102)</f>
        <v/>
      </c>
      <c r="J102" s="404" t="n"/>
      <c r="K102" s="404" t="n"/>
      <c r="L102" s="418" t="n"/>
      <c r="M102" s="493">
        <f>HYPERLINK("https://www.youtube.com/watch?v=LHIZzMjnG0k&amp;feature=youtu.be","Video Solution - Eng Mohamed Adel")</f>
        <v/>
      </c>
      <c r="N102" s="511" t="inlineStr">
        <is>
          <t>adhoc, NA</t>
        </is>
      </c>
      <c r="O102" s="488" t="n">
        <v>1</v>
      </c>
      <c r="P102" s="488" t="n">
        <v>2</v>
      </c>
    </row>
    <row r="103" ht="15.75" customHeight="1" s="279">
      <c r="A103" s="420" t="inlineStr">
        <is>
          <t>Pasha and String</t>
        </is>
      </c>
      <c r="B103" s="475">
        <f>HYPERLINK("http://codeforces.com/contest/525/problem/B","CF525-D2-B")</f>
        <v/>
      </c>
      <c r="C103" s="418" t="n"/>
      <c r="D103" s="418" t="n"/>
      <c r="E103" s="418" t="n"/>
      <c r="F103" s="418" t="n"/>
      <c r="G103" s="418" t="n"/>
      <c r="H103" s="418" t="n"/>
      <c r="I103" s="404">
        <f>SUM(E103:H103)</f>
        <v/>
      </c>
      <c r="J103" s="404" t="n"/>
      <c r="K103" s="404" t="n"/>
      <c r="L103" s="418" t="n"/>
      <c r="M103" s="475">
        <f>HYPERLINK("https://www.youtube.com/watch?v=NPVp5BntYZ4","Video Solution - Eng Hossam Yehia")</f>
        <v/>
      </c>
      <c r="N103" s="511" t="inlineStr">
        <is>
          <t>adhoc, NA</t>
        </is>
      </c>
      <c r="O103" s="488" t="n">
        <v>1</v>
      </c>
      <c r="P103" s="488" t="n">
        <v>2</v>
      </c>
    </row>
    <row r="104" ht="15.75" customHeight="1" s="279">
      <c r="A104" s="420" t="inlineStr">
        <is>
          <t>Sea and Islands</t>
        </is>
      </c>
      <c r="B104" s="475">
        <f>HYPERLINK("http://codeforces.com/contest/544/problem/B","CF544-D2-B")</f>
        <v/>
      </c>
      <c r="C104" s="418" t="n"/>
      <c r="D104" s="418" t="n"/>
      <c r="E104" s="418" t="n"/>
      <c r="F104" s="418" t="n"/>
      <c r="G104" s="418" t="n"/>
      <c r="H104" s="418" t="n"/>
      <c r="I104" s="404">
        <f>SUM(E104:H104)</f>
        <v/>
      </c>
      <c r="J104" s="404" t="n"/>
      <c r="K104" s="404" t="n"/>
      <c r="L104" s="418" t="n"/>
      <c r="M104" s="475">
        <f>HYPERLINK("https://www.youtube.com/watch?v=7MC9PFQTlxs","Video Solution - Eng Mohamed Salah")</f>
        <v/>
      </c>
      <c r="N104" s="511" t="inlineStr">
        <is>
          <t>adhoc, NA</t>
        </is>
      </c>
      <c r="O104" s="488" t="n">
        <v>1</v>
      </c>
      <c r="P104" s="488" t="n">
        <v>2</v>
      </c>
    </row>
    <row r="105" ht="15.75" customHeight="1" s="279">
      <c r="A105" s="420" t="inlineStr">
        <is>
          <t>Kefa and Company</t>
        </is>
      </c>
      <c r="B105" s="475">
        <f>HYPERLINK("http://codeforces.com/contest/580/problem/B","CF580-D2-B")</f>
        <v/>
      </c>
      <c r="C105" s="418" t="n"/>
      <c r="D105" s="418" t="n"/>
      <c r="E105" s="418" t="n"/>
      <c r="F105" s="418" t="n"/>
      <c r="G105" s="418" t="n"/>
      <c r="H105" s="418" t="n"/>
      <c r="I105" s="404">
        <f>SUM(E105:H105)</f>
        <v/>
      </c>
      <c r="J105" s="404" t="n"/>
      <c r="K105" s="404" t="n"/>
      <c r="L105" s="418" t="n"/>
      <c r="M105" s="408">
        <f>HYPERLINK("https://www.youtube.com/watch?v=kUXDNSkFECM","Video Solution - SolverToBe (Java)")</f>
        <v/>
      </c>
      <c r="N105" s="511" t="inlineStr">
        <is>
          <t>adhoc, NA</t>
        </is>
      </c>
      <c r="O105" s="488" t="n">
        <v>1</v>
      </c>
      <c r="P105" s="488" t="n">
        <v>2</v>
      </c>
    </row>
    <row r="106" ht="15.75" customHeight="1" s="279">
      <c r="A106" s="420" t="inlineStr">
        <is>
          <t>Kolya and Tanya</t>
        </is>
      </c>
      <c r="B106" s="475">
        <f>HYPERLINK("http://codeforces.com/contest/584/problem/B","CF584-D2-B")</f>
        <v/>
      </c>
      <c r="C106" s="418" t="n"/>
      <c r="D106" s="418" t="n"/>
      <c r="E106" s="418" t="n"/>
      <c r="F106" s="418" t="n"/>
      <c r="G106" s="418" t="n"/>
      <c r="H106" s="418" t="n"/>
      <c r="I106" s="404">
        <f>SUM(E106:H106)</f>
        <v/>
      </c>
      <c r="J106" s="404" t="n"/>
      <c r="K106" s="404" t="n"/>
      <c r="L106" s="418" t="n"/>
      <c r="M106" s="475">
        <f>HYPERLINK("https://www.youtube.com/watch?v=-Dh_FyJiJ9Q","Video Solution - Eng Yahia Ashraf")</f>
        <v/>
      </c>
      <c r="N106" s="511" t="inlineStr">
        <is>
          <t>adhoc, NA</t>
        </is>
      </c>
      <c r="O106" s="488" t="n">
        <v>1</v>
      </c>
      <c r="P106" s="488" t="n">
        <v>2</v>
      </c>
    </row>
    <row r="107" ht="15.75" customHeight="1" s="279">
      <c r="A107" s="420" t="inlineStr">
        <is>
          <t>Approximating a Constant Range</t>
        </is>
      </c>
      <c r="B107" s="475">
        <f>HYPERLINK("http://codeforces.com/contest/602/problem/B","CF602-D2-B")</f>
        <v/>
      </c>
      <c r="C107" s="418" t="n"/>
      <c r="D107" s="418" t="n"/>
      <c r="E107" s="418" t="n"/>
      <c r="F107" s="418" t="n"/>
      <c r="G107" s="418" t="n"/>
      <c r="H107" s="418" t="n"/>
      <c r="I107" s="404">
        <f>SUM(E107:H107)</f>
        <v/>
      </c>
      <c r="J107" s="404" t="n"/>
      <c r="K107" s="404" t="n"/>
      <c r="L107" s="418" t="n"/>
      <c r="M107" s="420" t="n"/>
      <c r="N107" s="511" t="inlineStr">
        <is>
          <t>adhoc, NA</t>
        </is>
      </c>
      <c r="O107" s="488" t="n">
        <v>1</v>
      </c>
      <c r="P107" s="488" t="n">
        <v>2</v>
      </c>
    </row>
    <row r="108" ht="15.75" customHeight="1" s="279">
      <c r="A108" s="420" t="inlineStr">
        <is>
          <t>Hamming Distance Sum</t>
        </is>
      </c>
      <c r="B108" s="475">
        <f>HYPERLINK("http://codeforces.com/contest/608/problem/B","CF608-D2-B")</f>
        <v/>
      </c>
      <c r="C108" s="418" t="n"/>
      <c r="D108" s="418" t="n"/>
      <c r="E108" s="418" t="n"/>
      <c r="F108" s="418" t="n"/>
      <c r="G108" s="418" t="n"/>
      <c r="H108" s="418" t="n"/>
      <c r="I108" s="404">
        <f>SUM(E108:H108)</f>
        <v/>
      </c>
      <c r="J108" s="404" t="n"/>
      <c r="K108" s="404" t="n"/>
      <c r="L108" s="418" t="n"/>
      <c r="M108" s="488" t="n"/>
      <c r="N108" s="511" t="inlineStr">
        <is>
          <t>adhoc, NA</t>
        </is>
      </c>
      <c r="O108" s="488" t="n">
        <v>1</v>
      </c>
      <c r="P108" s="488" t="n">
        <v>2</v>
      </c>
    </row>
    <row r="109" ht="15.75" customHeight="1" s="279">
      <c r="A109" s="420" t="inlineStr">
        <is>
          <t>Petya and Countryside</t>
        </is>
      </c>
      <c r="B109" s="475">
        <f>HYPERLINK("http://codeforces.com/contest/66/problem/B","CF66-D2-B")</f>
        <v/>
      </c>
      <c r="C109" s="418" t="n"/>
      <c r="D109" s="418" t="n"/>
      <c r="E109" s="418" t="n"/>
      <c r="F109" s="418" t="n"/>
      <c r="G109" s="418" t="n"/>
      <c r="H109" s="418" t="n"/>
      <c r="I109" s="404">
        <f>SUM(E109:H109)</f>
        <v/>
      </c>
      <c r="J109" s="404" t="n"/>
      <c r="K109" s="404" t="n"/>
      <c r="L109" s="418" t="n"/>
      <c r="M109" s="475">
        <f>HYPERLINK("https://www.youtube.com/watch?v=XRgCL-gVU7M&amp;feature=youtu.be","Video Solution - Eng Muntaser Abukadeja")</f>
        <v/>
      </c>
      <c r="N109" s="511" t="inlineStr">
        <is>
          <t>adhoc, NA</t>
        </is>
      </c>
      <c r="O109" s="488" t="n">
        <v>1</v>
      </c>
      <c r="P109" s="488" t="n">
        <v>2</v>
      </c>
    </row>
    <row r="110" ht="15.75" customHeight="1" s="279">
      <c r="A110" s="420" t="inlineStr">
        <is>
          <t>Bear and Finding Criminals</t>
        </is>
      </c>
      <c r="B110" s="475">
        <f>HYPERLINK("http://codeforces.com/contest/680/problem/B","CF680-D2-B")</f>
        <v/>
      </c>
      <c r="C110" s="418" t="n"/>
      <c r="D110" s="418" t="n"/>
      <c r="E110" s="418" t="n"/>
      <c r="F110" s="418" t="n"/>
      <c r="G110" s="418" t="n"/>
      <c r="H110" s="418" t="n"/>
      <c r="I110" s="404">
        <f>SUM(E110:H110)</f>
        <v/>
      </c>
      <c r="J110" s="404" t="n"/>
      <c r="K110" s="404" t="n"/>
      <c r="L110" s="418" t="n"/>
      <c r="M110" s="475">
        <f>HYPERLINK("https://www.youtube.com/watch?v=oKRNtI-ZI5g&amp;feature=youtu.be","Video Solution - Eng Muntaser Abukadeja")</f>
        <v/>
      </c>
      <c r="N110" s="511" t="inlineStr">
        <is>
          <t>adhoc, NA</t>
        </is>
      </c>
      <c r="O110" s="488" t="n">
        <v>1</v>
      </c>
      <c r="P110" s="488" t="n">
        <v>2</v>
      </c>
    </row>
    <row r="111" ht="15.75" customHeight="1" s="279">
      <c r="A111" s="420" t="inlineStr">
        <is>
          <t>Filya and Homework</t>
        </is>
      </c>
      <c r="B111" s="475">
        <f>HYPERLINK("http://codeforces.com/contest/714/problem/B","CF714-D2-B")</f>
        <v/>
      </c>
      <c r="C111" s="418" t="n"/>
      <c r="D111" s="418" t="n"/>
      <c r="E111" s="418" t="n"/>
      <c r="F111" s="418" t="n"/>
      <c r="G111" s="418" t="n"/>
      <c r="H111" s="418" t="n"/>
      <c r="I111" s="404">
        <f>SUM(E111:H111)</f>
        <v/>
      </c>
      <c r="J111" s="404" t="n"/>
      <c r="K111" s="404" t="n"/>
      <c r="L111" s="418" t="n"/>
      <c r="M111" s="475">
        <f>HYPERLINK("https://www.youtube.com/watch?v=aDDoryh3x_g","Video Solution - Eng Muntaser Abukadeja")</f>
        <v/>
      </c>
      <c r="N111" s="511" t="inlineStr">
        <is>
          <t>adhoc, NA</t>
        </is>
      </c>
      <c r="O111" s="488" t="n">
        <v>1</v>
      </c>
      <c r="P111" s="488" t="n">
        <v>2</v>
      </c>
    </row>
    <row r="112" ht="15.75" customHeight="1" s="279">
      <c r="A112" s="420" t="inlineStr">
        <is>
          <t>Complete the Word</t>
        </is>
      </c>
      <c r="B112" s="475">
        <f>HYPERLINK("http://codeforces.com/contest/716/problem/B","CF716-D2-B")</f>
        <v/>
      </c>
      <c r="C112" s="418" t="n"/>
      <c r="D112" s="418" t="n"/>
      <c r="E112" s="418" t="n"/>
      <c r="F112" s="418" t="n"/>
      <c r="G112" s="418" t="n"/>
      <c r="H112" s="418" t="n"/>
      <c r="I112" s="404">
        <f>SUM(E112:H112)</f>
        <v/>
      </c>
      <c r="J112" s="404" t="n"/>
      <c r="K112" s="404" t="n"/>
      <c r="L112" s="418" t="n"/>
      <c r="M112" s="475">
        <f>HYPERLINK("https://www.youtube.com/watch?v=lu6BhwVMNhw","Video Solution - Eng Mohamed Salah")</f>
        <v/>
      </c>
      <c r="N112" s="511" t="inlineStr">
        <is>
          <t>adhoc, NA</t>
        </is>
      </c>
      <c r="O112" s="488" t="n">
        <v>1</v>
      </c>
      <c r="P112" s="488" t="n">
        <v>2</v>
      </c>
    </row>
    <row r="113" ht="15.75" customHeight="1" s="279">
      <c r="A113" s="420" t="inlineStr">
        <is>
          <t>Easter Eggs</t>
        </is>
      </c>
      <c r="B113" s="475">
        <f>HYPERLINK("http://codeforces.com/contest/78/problem/B","CF78-D2-B")</f>
        <v/>
      </c>
      <c r="C113" s="418" t="n"/>
      <c r="D113" s="418" t="n"/>
      <c r="E113" s="418" t="n"/>
      <c r="F113" s="418" t="n"/>
      <c r="G113" s="418" t="n"/>
      <c r="H113" s="418" t="n"/>
      <c r="I113" s="404">
        <f>SUM(E113:H113)</f>
        <v/>
      </c>
      <c r="J113" s="404" t="n"/>
      <c r="K113" s="404" t="n"/>
      <c r="L113" s="418" t="n"/>
      <c r="M113" s="475">
        <f>HYPERLINK("https://www.youtube.com/watch?v=rJN_rI2xiV4","Video Solution - Eng Abanob Ashraf")</f>
        <v/>
      </c>
      <c r="N113" s="511" t="inlineStr">
        <is>
          <t>adhoc, NA</t>
        </is>
      </c>
      <c r="O113" s="488" t="n">
        <v>1</v>
      </c>
      <c r="P113" s="488" t="n">
        <v>2</v>
      </c>
    </row>
    <row r="114" ht="15.75" customHeight="1" s="279">
      <c r="A114" s="420" t="inlineStr">
        <is>
          <t>Hopscotch</t>
        </is>
      </c>
      <c r="B114" s="475">
        <f>HYPERLINK("http://codeforces.com/contest/141/problem/B","CF141-D2-B")</f>
        <v/>
      </c>
      <c r="C114" s="418" t="n"/>
      <c r="D114" s="418" t="n"/>
      <c r="E114" s="418" t="n"/>
      <c r="F114" s="418" t="n"/>
      <c r="G114" s="418" t="n"/>
      <c r="H114" s="418" t="n"/>
      <c r="I114" s="404">
        <f>SUM(E114:H114)</f>
        <v/>
      </c>
      <c r="J114" s="404" t="n"/>
      <c r="K114" s="404" t="n"/>
      <c r="L114" s="418" t="n"/>
      <c r="M114" s="420" t="n"/>
      <c r="N114" s="511" t="inlineStr">
        <is>
          <t>adhoc, NA</t>
        </is>
      </c>
      <c r="O114" s="488" t="n">
        <v>1</v>
      </c>
      <c r="P114" s="488" t="n">
        <v>2</v>
      </c>
    </row>
    <row r="115" ht="15.75" customHeight="1" s="279">
      <c r="A115" s="420" t="inlineStr">
        <is>
          <t>Physics Practical</t>
        </is>
      </c>
      <c r="B115" s="475">
        <f>HYPERLINK("http://codeforces.com/contest/253/problem/B","CF253-D2-B")</f>
        <v/>
      </c>
      <c r="C115" s="418" t="n"/>
      <c r="D115" s="418" t="n"/>
      <c r="E115" s="418" t="n"/>
      <c r="F115" s="418" t="n"/>
      <c r="G115" s="418" t="n"/>
      <c r="H115" s="418" t="n"/>
      <c r="I115" s="404">
        <f>SUM(E115:H115)</f>
        <v/>
      </c>
      <c r="J115" s="404" t="n"/>
      <c r="K115" s="404" t="n"/>
      <c r="L115" s="418" t="n"/>
      <c r="M115" s="475">
        <f>HYPERLINK("https://www.youtube.com/watch?v=ZR0IxC_xoFk","Video Solution - Eng Mohamed Salah")</f>
        <v/>
      </c>
      <c r="N115" s="511" t="inlineStr">
        <is>
          <t>adhoc, NA</t>
        </is>
      </c>
      <c r="O115" s="488" t="n">
        <v>1</v>
      </c>
      <c r="P115" s="488" t="n">
        <v>2</v>
      </c>
    </row>
    <row r="116" ht="15.75" customHeight="1" s="279">
      <c r="A116" s="420" t="inlineStr">
        <is>
          <t>Little Girl and Game</t>
        </is>
      </c>
      <c r="B116" s="475">
        <f>HYPERLINK("http://codeforces.com/contest/276/problem/B","CF276-D2-B")</f>
        <v/>
      </c>
      <c r="C116" s="418" t="n"/>
      <c r="D116" s="418" t="n"/>
      <c r="E116" s="418" t="n"/>
      <c r="F116" s="418" t="n"/>
      <c r="G116" s="418" t="n"/>
      <c r="H116" s="418" t="n"/>
      <c r="I116" s="404">
        <f>SUM(E116:H116)</f>
        <v/>
      </c>
      <c r="J116" s="404" t="n"/>
      <c r="K116" s="404" t="n"/>
      <c r="L116" s="418" t="n"/>
      <c r="M116" s="475">
        <f>HYPERLINK("https://www.youtube.com/watch?v=WrpG_n0SrbY&amp;feature=youtu.be","Video Solution - Eng Hossam Yehia")</f>
        <v/>
      </c>
      <c r="N116" s="511" t="inlineStr">
        <is>
          <t>adhoc, NA</t>
        </is>
      </c>
      <c r="O116" s="488" t="n">
        <v>1</v>
      </c>
      <c r="P116" s="488" t="n">
        <v>2</v>
      </c>
    </row>
    <row r="117" ht="15.75" customHeight="1" s="279">
      <c r="A117" s="420" t="inlineStr">
        <is>
          <t>Painting Eggs</t>
        </is>
      </c>
      <c r="B117" s="475">
        <f>HYPERLINK("http://codeforces.com/contest/282/problem/B","CF282-D2-B")</f>
        <v/>
      </c>
      <c r="C117" s="418" t="n"/>
      <c r="D117" s="418" t="n"/>
      <c r="E117" s="418" t="n"/>
      <c r="F117" s="418" t="n"/>
      <c r="G117" s="418" t="n"/>
      <c r="H117" s="418" t="n"/>
      <c r="I117" s="404">
        <f>SUM(E117:H117)</f>
        <v/>
      </c>
      <c r="J117" s="404" t="n"/>
      <c r="K117" s="404" t="n"/>
      <c r="L117" s="418" t="n"/>
      <c r="M117" s="420" t="n"/>
      <c r="N117" s="511" t="inlineStr">
        <is>
          <t>adhoc, NA</t>
        </is>
      </c>
      <c r="O117" s="488" t="n">
        <v>1</v>
      </c>
      <c r="P117" s="488" t="n">
        <v>2</v>
      </c>
    </row>
    <row r="118" ht="15.75" customHeight="1" s="279">
      <c r="A118" s="420" t="inlineStr">
        <is>
          <t>Fence</t>
        </is>
      </c>
      <c r="B118" s="475">
        <f>HYPERLINK("http://codeforces.com/contest/363/problem/B","CF363-D2-B")</f>
        <v/>
      </c>
      <c r="C118" s="418" t="n"/>
      <c r="D118" s="418" t="n"/>
      <c r="E118" s="418" t="n"/>
      <c r="F118" s="418" t="n"/>
      <c r="G118" s="418" t="n"/>
      <c r="H118" s="418" t="n"/>
      <c r="I118" s="404">
        <f>SUM(E118:H118)</f>
        <v/>
      </c>
      <c r="J118" s="404" t="n"/>
      <c r="K118" s="404" t="n"/>
      <c r="L118" s="418" t="n"/>
      <c r="M118" s="475">
        <f>HYPERLINK("https://www.youtube.com/watch?v=uwbfFMVMYBg&amp;feature=youtu.be","Video Solution - Eng Muntaser Abukadeja")</f>
        <v/>
      </c>
      <c r="N118" s="511" t="inlineStr">
        <is>
          <t>adhock, prefix sum</t>
        </is>
      </c>
      <c r="O118" s="488" t="n">
        <v>1</v>
      </c>
      <c r="P118" s="488" t="n">
        <v>2</v>
      </c>
    </row>
    <row r="119" ht="15.75" customHeight="1" s="279">
      <c r="A119" s="420" t="inlineStr">
        <is>
          <t>Valera and Contest</t>
        </is>
      </c>
      <c r="B119" s="475">
        <f>HYPERLINK("http://codeforces.com/contest/369/problem/B","CF369-D2-B")</f>
        <v/>
      </c>
      <c r="C119" s="418" t="n"/>
      <c r="D119" s="418" t="n"/>
      <c r="E119" s="418" t="n"/>
      <c r="F119" s="418" t="n"/>
      <c r="G119" s="418" t="n"/>
      <c r="H119" s="418" t="n"/>
      <c r="I119" s="404">
        <f>SUM(E119:H119)</f>
        <v/>
      </c>
      <c r="J119" s="404" t="n"/>
      <c r="K119" s="404" t="n"/>
      <c r="L119" s="418" t="n"/>
      <c r="M119" s="475">
        <f>HYPERLINK("https://www.youtube.com/watch?v=1CHX-WYiQvA","Video Solution - Eng Yahia Ashraf")</f>
        <v/>
      </c>
      <c r="N119" s="511" t="inlineStr">
        <is>
          <t>adhoc, NA</t>
        </is>
      </c>
      <c r="O119" s="488" t="n">
        <v>1</v>
      </c>
      <c r="P119" s="488" t="n">
        <v>2</v>
      </c>
    </row>
    <row r="120" ht="15.75" customHeight="1" s="279">
      <c r="A120" s="420" t="inlineStr">
        <is>
          <t>Han Solo and Lazer Gun</t>
        </is>
      </c>
      <c r="B120" s="475">
        <f>HYPERLINK("http://codeforces.com/contest/514/problem/B","CF514-D2-B")</f>
        <v/>
      </c>
      <c r="C120" s="418" t="n"/>
      <c r="D120" s="418" t="n"/>
      <c r="E120" s="418" t="n"/>
      <c r="F120" s="418" t="n"/>
      <c r="G120" s="418" t="n"/>
      <c r="H120" s="418" t="n"/>
      <c r="I120" s="404">
        <f>SUM(E120:H120)</f>
        <v/>
      </c>
      <c r="J120" s="404" t="n"/>
      <c r="K120" s="404" t="n"/>
      <c r="L120" s="418" t="n"/>
      <c r="M120" s="420" t="n"/>
      <c r="N120" s="511" t="inlineStr">
        <is>
          <t>adhoc, NA</t>
        </is>
      </c>
      <c r="O120" s="488" t="n">
        <v>1</v>
      </c>
      <c r="P120" s="488" t="n">
        <v>2</v>
      </c>
    </row>
    <row r="121" ht="15.75" customHeight="1" s="279">
      <c r="A121" s="420" t="inlineStr">
        <is>
          <t>Two Buttons</t>
        </is>
      </c>
      <c r="B121" s="475">
        <f>HYPERLINK("http://codeforces.com/contest/520/problem/B","CF520-D2-B")</f>
        <v/>
      </c>
      <c r="C121" s="418" t="n"/>
      <c r="D121" s="418" t="n"/>
      <c r="E121" s="418" t="n"/>
      <c r="F121" s="418" t="n"/>
      <c r="G121" s="418" t="n"/>
      <c r="H121" s="418" t="n"/>
      <c r="I121" s="404">
        <f>SUM(E121:H121)</f>
        <v/>
      </c>
      <c r="J121" s="404" t="n"/>
      <c r="K121" s="404" t="n"/>
      <c r="L121" s="418" t="n"/>
      <c r="M121" s="475">
        <f>HYPERLINK("https://www.youtube.com/watch?v=tMsOxSRU4Sk","Video Solution - Solver to be (Java)")</f>
        <v/>
      </c>
      <c r="N121" s="511" t="inlineStr">
        <is>
          <t>adhoc, NA</t>
        </is>
      </c>
      <c r="O121" s="488" t="n">
        <v>1</v>
      </c>
      <c r="P121" s="488" t="n">
        <v>2</v>
      </c>
    </row>
    <row r="122" ht="15.75" customHeight="1" s="279">
      <c r="A122" s="420" t="inlineStr">
        <is>
          <t>Tavas and SaDDas</t>
        </is>
      </c>
      <c r="B122" s="475">
        <f>HYPERLINK("http://codeforces.com/contest/535/problem/B","CF535-D2-B")</f>
        <v/>
      </c>
      <c r="C122" s="418" t="n"/>
      <c r="D122" s="418" t="n"/>
      <c r="E122" s="418" t="n"/>
      <c r="F122" s="418" t="n"/>
      <c r="G122" s="418" t="n"/>
      <c r="H122" s="418" t="n"/>
      <c r="I122" s="404">
        <f>SUM(E122:H122)</f>
        <v/>
      </c>
      <c r="J122" s="418" t="n"/>
      <c r="K122" s="418" t="n"/>
      <c r="L122" s="418" t="n"/>
      <c r="M122" s="475">
        <f>HYPERLINK("https://www.youtube.com/watch?v=NPVp5BntYZ4","Video Solution - Eng Abanob Ashraf")</f>
        <v/>
      </c>
      <c r="N122" s="511" t="inlineStr">
        <is>
          <t>adhoc, NA</t>
        </is>
      </c>
      <c r="O122" s="488" t="n">
        <v>1</v>
      </c>
      <c r="P122" s="488" t="n">
        <v>2</v>
      </c>
    </row>
    <row r="123" ht="15.75" customHeight="1" s="279">
      <c r="A123" s="420" t="inlineStr">
        <is>
          <t>Preparing Olympiad</t>
        </is>
      </c>
      <c r="B123" s="475">
        <f>HYPERLINK("http://codeforces.com/contest/550/problem/B","CF550-D2-B")</f>
        <v/>
      </c>
      <c r="C123" s="418" t="n"/>
      <c r="D123" s="418" t="n"/>
      <c r="E123" s="418" t="n"/>
      <c r="F123" s="418" t="n"/>
      <c r="G123" s="418" t="n"/>
      <c r="H123" s="418" t="n"/>
      <c r="I123" s="404">
        <f>SUM(E123:H123)</f>
        <v/>
      </c>
      <c r="J123" s="404" t="n"/>
      <c r="K123" s="404" t="n"/>
      <c r="L123" s="404" t="n"/>
      <c r="M123" s="408">
        <f>HYPERLINK("https://www.youtube.com/watch?v=o5fKByvQguE","Video Solution - SolverToBe (Java)")</f>
        <v/>
      </c>
      <c r="N123" s="511" t="inlineStr">
        <is>
          <t>adhoc, NA</t>
        </is>
      </c>
      <c r="O123" s="488" t="n">
        <v>1</v>
      </c>
      <c r="P123" s="488" t="n">
        <v>2</v>
      </c>
    </row>
    <row r="124" ht="15.75" customHeight="1" s="279">
      <c r="A124" s="420" t="inlineStr">
        <is>
          <t>Lovely Palindromes</t>
        </is>
      </c>
      <c r="B124" s="475">
        <f>HYPERLINK("http://codeforces.com/contest/688/problem/B","CF688-D2-B")</f>
        <v/>
      </c>
      <c r="C124" s="418" t="n"/>
      <c r="D124" s="418" t="n"/>
      <c r="E124" s="418" t="n"/>
      <c r="F124" s="418" t="n"/>
      <c r="G124" s="418" t="n"/>
      <c r="H124" s="418" t="n"/>
      <c r="I124" s="404">
        <f>SUM(E124:H124)</f>
        <v/>
      </c>
      <c r="J124" s="404" t="n"/>
      <c r="K124" s="404" t="n"/>
      <c r="L124" s="418" t="n"/>
      <c r="M124" s="475">
        <f>HYPERLINK("https://www.youtube.com/watch?v=sy_g77hnbaA","Video Solution - Solver to be (Java)")</f>
        <v/>
      </c>
      <c r="N124" s="511" t="inlineStr">
        <is>
          <t>adhoc, NA</t>
        </is>
      </c>
      <c r="O124" s="488" t="n">
        <v>1</v>
      </c>
      <c r="P124" s="488" t="n">
        <v>2</v>
      </c>
    </row>
    <row r="125" ht="15.75" customHeight="1" s="279">
      <c r="A125" s="420" t="inlineStr">
        <is>
          <t>Anatoly and Cockroaches</t>
        </is>
      </c>
      <c r="B125" s="475">
        <f>HYPERLINK("http://codeforces.com/contest/719/problem/B","CF719-D2-B")</f>
        <v/>
      </c>
      <c r="C125" s="418" t="n"/>
      <c r="D125" s="418" t="n"/>
      <c r="E125" s="418" t="n"/>
      <c r="F125" s="418" t="n"/>
      <c r="G125" s="418" t="n"/>
      <c r="H125" s="418" t="n"/>
      <c r="I125" s="404">
        <f>SUM(E125:H125)</f>
        <v/>
      </c>
      <c r="J125" s="418" t="n"/>
      <c r="K125" s="418" t="n"/>
      <c r="L125" s="418" t="n"/>
      <c r="M125" s="421" t="n"/>
      <c r="N125" s="511" t="inlineStr">
        <is>
          <t>adhoc, NA</t>
        </is>
      </c>
      <c r="O125" s="488" t="n">
        <v>1</v>
      </c>
      <c r="P125" s="488" t="n">
        <v>2</v>
      </c>
    </row>
    <row r="126" ht="15.75" customHeight="1" s="279">
      <c r="A126" s="420" t="inlineStr">
        <is>
          <t>Decoding</t>
        </is>
      </c>
      <c r="B126" s="475">
        <f>HYPERLINK("http://codeforces.com/contest/746/problem/B","CF746-D2-B")</f>
        <v/>
      </c>
      <c r="C126" s="418" t="n"/>
      <c r="D126" s="418" t="n"/>
      <c r="E126" s="418" t="n"/>
      <c r="F126" s="418" t="n"/>
      <c r="G126" s="418" t="n"/>
      <c r="H126" s="418" t="n"/>
      <c r="I126" s="404">
        <f>SUM(E126:H126)</f>
        <v/>
      </c>
      <c r="J126" s="404" t="n"/>
      <c r="K126" s="404" t="n"/>
      <c r="L126" s="418" t="n"/>
      <c r="M126" s="475">
        <f>HYPERLINK("https://www.youtube.com/watch?v=FI5HvI9SQtA","Video Solution - Solver to be (Java)")</f>
        <v/>
      </c>
      <c r="N126" s="511" t="inlineStr">
        <is>
          <t>adhoc, NA</t>
        </is>
      </c>
      <c r="O126" s="488" t="n">
        <v>1</v>
      </c>
      <c r="P126" s="488" t="n">
        <v>2</v>
      </c>
      <c r="Q126" s="297" t="inlineStr">
        <is>
          <t>p2</t>
        </is>
      </c>
    </row>
    <row r="127" ht="15.75" customHeight="1" s="279">
      <c r="A127" s="420" t="inlineStr">
        <is>
          <t>Bear and Friendship Condition</t>
        </is>
      </c>
      <c r="B127" s="475">
        <f>HYPERLINK("http://codeforces.com/contest/791/problem/B","CF791-D2-B")</f>
        <v/>
      </c>
      <c r="C127" s="418" t="n"/>
      <c r="D127" s="418" t="n"/>
      <c r="E127" s="418" t="n"/>
      <c r="F127" s="418" t="n"/>
      <c r="G127" s="418" t="n"/>
      <c r="H127" s="418" t="n"/>
      <c r="I127" s="404">
        <f>SUM(E127:H127)</f>
        <v/>
      </c>
      <c r="J127" s="404" t="n"/>
      <c r="K127" s="404" t="n"/>
      <c r="L127" s="404" t="n"/>
      <c r="M127" s="475">
        <f>HYPERLINK("https://www.youtube.com/watch?v=3tVJoeUE0Ag&amp;feature=youtu.be","Video Solution - Eng Mohamed Salah")</f>
        <v/>
      </c>
      <c r="N127" s="511" t="inlineStr">
        <is>
          <t>adhoc, NA</t>
        </is>
      </c>
      <c r="O127" s="488" t="n">
        <v>1</v>
      </c>
      <c r="P127" s="488" t="n">
        <v>2</v>
      </c>
    </row>
    <row r="128" ht="15.75" customHeight="1" s="279">
      <c r="A128" s="420" t="inlineStr">
        <is>
          <t>Keyboard</t>
        </is>
      </c>
      <c r="B128" s="475">
        <f>HYPERLINK("http://codeforces.com/contest/88/problem/B","CF88-D2-B")</f>
        <v/>
      </c>
      <c r="C128" s="418" t="n"/>
      <c r="D128" s="418" t="n"/>
      <c r="E128" s="418" t="n"/>
      <c r="F128" s="418" t="n"/>
      <c r="G128" s="418" t="n"/>
      <c r="H128" s="418" t="n"/>
      <c r="I128" s="404">
        <f>SUM(E128:H128)</f>
        <v/>
      </c>
      <c r="J128" s="404" t="n"/>
      <c r="K128" s="404" t="n"/>
      <c r="L128" s="418" t="n"/>
      <c r="M128" s="475">
        <f>HYPERLINK("https://www.youtube.com/watch?v=IlM9o1-xgE4&amp;feature=youtu.be","Video Solution - Eng Muntaser Abukadeja")</f>
        <v/>
      </c>
      <c r="N128" s="511" t="inlineStr">
        <is>
          <t>adhoc, NA</t>
        </is>
      </c>
      <c r="O128" s="488" t="n">
        <v>1</v>
      </c>
      <c r="P128" s="488" t="n">
        <v>2</v>
      </c>
      <c r="Q128" s="297" t="inlineStr">
        <is>
          <t>p2</t>
        </is>
      </c>
    </row>
    <row r="129" ht="15.75" customHeight="1" s="279">
      <c r="A129" s="420" t="inlineStr">
        <is>
          <t>Kuriyama Mirai's Stones</t>
        </is>
      </c>
      <c r="B129" s="475">
        <f>HYPERLINK("http://codeforces.com/contest/433/problem/B","CF433-D2-B")</f>
        <v/>
      </c>
      <c r="C129" s="418" t="n"/>
      <c r="D129" s="418" t="n"/>
      <c r="E129" s="418" t="n"/>
      <c r="F129" s="418" t="n"/>
      <c r="G129" s="418" t="n"/>
      <c r="H129" s="418" t="n"/>
      <c r="I129" s="404">
        <f>SUM(E129:H129)</f>
        <v/>
      </c>
      <c r="J129" s="418" t="n"/>
      <c r="K129" s="418" t="n"/>
      <c r="L129" s="418" t="n"/>
      <c r="M129" s="420" t="n"/>
      <c r="N129" s="488" t="inlineStr">
        <is>
          <t>adhoc, prefix sum</t>
        </is>
      </c>
      <c r="O129" s="488" t="n">
        <v>1</v>
      </c>
      <c r="P129" s="488" t="n">
        <v>2</v>
      </c>
    </row>
    <row r="130" ht="15.75" customHeight="1" s="279">
      <c r="A130" s="420" t="inlineStr">
        <is>
          <t>Vika and Squares</t>
        </is>
      </c>
      <c r="B130" s="475">
        <f>HYPERLINK("http://codeforces.com/contest/610/problem/B","CF610-D2-B")</f>
        <v/>
      </c>
      <c r="C130" s="418" t="n"/>
      <c r="D130" s="418" t="n"/>
      <c r="E130" s="418" t="n"/>
      <c r="F130" s="418" t="n"/>
      <c r="G130" s="418" t="n"/>
      <c r="H130" s="418" t="n"/>
      <c r="I130" s="404">
        <f>SUM(E130:H130)</f>
        <v/>
      </c>
      <c r="J130" s="418" t="n"/>
      <c r="K130" s="418" t="n"/>
      <c r="L130" s="418" t="n"/>
      <c r="M130" s="421" t="n"/>
      <c r="N130" s="488" t="inlineStr">
        <is>
          <t>adhoc, prefix sum</t>
        </is>
      </c>
      <c r="O130" s="488" t="n">
        <v>1</v>
      </c>
      <c r="P130" s="488" t="n">
        <v>2</v>
      </c>
    </row>
    <row r="131" ht="15.75" customHeight="1" s="279">
      <c r="A131" s="420" t="n"/>
      <c r="B131" s="453">
        <f>HYPERLINK("https://codeforces.com/contest/1237/problem/B","CF1237-D12-B")</f>
        <v/>
      </c>
      <c r="C131" s="418" t="n"/>
      <c r="D131" s="418" t="n"/>
      <c r="E131" s="418" t="n"/>
      <c r="F131" s="418" t="n"/>
      <c r="G131" s="418" t="n"/>
      <c r="H131" s="418" t="n"/>
      <c r="I131" s="404">
        <f>SUM(E131:H131)</f>
        <v/>
      </c>
      <c r="J131" s="418" t="n"/>
      <c r="K131" s="418" t="n"/>
      <c r="L131" s="418" t="n"/>
      <c r="M131" s="421" t="n"/>
      <c r="N131" s="488" t="inlineStr">
        <is>
          <t>adhoc, prefix sum</t>
        </is>
      </c>
      <c r="O131" s="488" t="n">
        <v>1</v>
      </c>
      <c r="P131" s="488" t="n">
        <v>3</v>
      </c>
      <c r="Q131" s="297" t="inlineStr">
        <is>
          <t>p3</t>
        </is>
      </c>
    </row>
    <row r="132" ht="15.75" customHeight="1" s="279">
      <c r="A132" s="420" t="inlineStr">
        <is>
          <t>Alyona and mex</t>
        </is>
      </c>
      <c r="B132" s="475">
        <f>HYPERLINK("http://codeforces.com/contest/740/problem/C","CF740-D2-C")</f>
        <v/>
      </c>
      <c r="C132" s="418" t="n"/>
      <c r="D132" s="418" t="n"/>
      <c r="E132" s="418" t="n"/>
      <c r="F132" s="418" t="n"/>
      <c r="G132" s="418" t="n"/>
      <c r="H132" s="418" t="n"/>
      <c r="I132" s="404">
        <f>SUM(E132:H132)</f>
        <v/>
      </c>
      <c r="J132" s="404" t="n"/>
      <c r="K132" s="404" t="n"/>
      <c r="L132" s="418" t="n"/>
      <c r="M132" s="475">
        <f>HYPERLINK("https://www.youtube.com/watch?v=yDt7GWiPeV4","Video Solution - Dr Mostafa Saad")</f>
        <v/>
      </c>
      <c r="N132" s="488" t="inlineStr">
        <is>
          <t>adhoc, constructive</t>
        </is>
      </c>
      <c r="O132" s="488" t="n">
        <v>1</v>
      </c>
      <c r="P132" s="488" t="n">
        <v>3</v>
      </c>
      <c r="Q132" s="297" t="inlineStr">
        <is>
          <t>p2</t>
        </is>
      </c>
    </row>
    <row r="133" ht="15.75" customHeight="1" s="279">
      <c r="A133" s="420" t="n"/>
      <c r="B133" s="475">
        <f>HYPERLINK("https://uva.onlinejudge.org/index.php?option=onlinejudge&amp;page=show_problem&amp;problem=1994","UVA 11053")</f>
        <v/>
      </c>
      <c r="C133" s="418" t="n"/>
      <c r="D133" s="418" t="n"/>
      <c r="E133" s="418" t="n"/>
      <c r="F133" s="418" t="n"/>
      <c r="G133" s="418" t="n"/>
      <c r="H133" s="418" t="n"/>
      <c r="I133" s="404">
        <f>SUM(E133:H133)</f>
        <v/>
      </c>
      <c r="J133" s="404" t="n"/>
      <c r="K133" s="404" t="n"/>
      <c r="L133" s="418" t="n"/>
      <c r="M133" s="493">
        <f>HYPERLINK("https://en.wikipedia.org/wiki/Cycle_detection#Floyd.27s_Tortoise_and_Hare","Find O(n) Solution")</f>
        <v/>
      </c>
      <c r="N133" s="488" t="inlineStr">
        <is>
          <t>adhoc, cycle detection for iterated function</t>
        </is>
      </c>
      <c r="O133" s="488" t="n">
        <v>1</v>
      </c>
      <c r="P133" s="488" t="n">
        <v>3</v>
      </c>
      <c r="Q133" s="297" t="inlineStr">
        <is>
          <t>p1</t>
        </is>
      </c>
    </row>
    <row r="134" ht="15.75" customHeight="1" s="279">
      <c r="A134" s="295" t="inlineStr">
        <is>
          <t>Karen and Coffee</t>
        </is>
      </c>
      <c r="B134" s="475">
        <f>HYPERLINK("http://codeforces.com/contest/816/problem/B","CF816-D2-B")</f>
        <v/>
      </c>
      <c r="C134" s="418" t="n"/>
      <c r="D134" s="418" t="n"/>
      <c r="E134" s="418" t="n"/>
      <c r="F134" s="418" t="n"/>
      <c r="G134" s="418" t="n"/>
      <c r="H134" s="418" t="n"/>
      <c r="I134" s="404">
        <f>SUM(E134:H134)</f>
        <v/>
      </c>
      <c r="J134" s="418" t="n"/>
      <c r="K134" s="418" t="n"/>
      <c r="L134" s="418" t="n"/>
      <c r="M134" s="421" t="n"/>
      <c r="N134" s="488" t="inlineStr">
        <is>
          <t>adhoc, prefix sum</t>
        </is>
      </c>
      <c r="O134" s="488" t="n">
        <v>1</v>
      </c>
      <c r="P134" s="488" t="n">
        <v>4</v>
      </c>
      <c r="Q134" s="297" t="inlineStr">
        <is>
          <t>p5</t>
        </is>
      </c>
    </row>
    <row r="135" ht="15.75" customHeight="1" s="279">
      <c r="A135" s="420" t="n"/>
      <c r="B135" s="475">
        <f>HYPERLINK("http://codeforces.com/contest/1043/problem/C","CF1043-D12-C")</f>
        <v/>
      </c>
      <c r="C135" s="418" t="n"/>
      <c r="D135" s="418" t="n"/>
      <c r="E135" s="418" t="n"/>
      <c r="F135" s="418" t="n"/>
      <c r="G135" s="418" t="n"/>
      <c r="H135" s="418" t="n"/>
      <c r="I135" s="404">
        <f>SUM(E135:H135)</f>
        <v/>
      </c>
      <c r="J135" s="418" t="n"/>
      <c r="K135" s="418" t="n"/>
      <c r="L135" s="418" t="n"/>
      <c r="M135" s="420" t="n"/>
      <c r="N135" s="488" t="inlineStr">
        <is>
          <t>adhoc, constructive</t>
        </is>
      </c>
      <c r="O135" s="488" t="n">
        <v>1</v>
      </c>
      <c r="P135" s="488" t="n">
        <v>4</v>
      </c>
      <c r="Q135" s="297" t="inlineStr">
        <is>
          <t>p3</t>
        </is>
      </c>
    </row>
    <row r="136" ht="15.75" customHeight="1" s="279">
      <c r="A136" s="420" t="n"/>
      <c r="B136" s="475">
        <f>HYPERLINK("http://codeforces.com/contest/1075/problem/C","CF1075-D2-C")</f>
        <v/>
      </c>
      <c r="C136" s="418" t="n"/>
      <c r="D136" s="418" t="n"/>
      <c r="E136" s="418" t="n"/>
      <c r="F136" s="418" t="n"/>
      <c r="G136" s="418" t="n"/>
      <c r="H136" s="418" t="n"/>
      <c r="I136" s="404">
        <f>SUM(E136:H136)</f>
        <v/>
      </c>
      <c r="J136" s="404" t="n"/>
      <c r="K136" s="404" t="n"/>
      <c r="L136" s="418" t="n"/>
      <c r="M136" s="420" t="n"/>
      <c r="N136" s="488" t="inlineStr">
        <is>
          <t>adhoc, constructive, sweep</t>
        </is>
      </c>
      <c r="O136" s="488" t="n">
        <v>1</v>
      </c>
      <c r="P136" s="488" t="n">
        <v>4</v>
      </c>
      <c r="Q136" s="297" t="inlineStr">
        <is>
          <t>p3</t>
        </is>
      </c>
    </row>
    <row r="137" ht="15.75" customHeight="1" s="279">
      <c r="A137" s="420" t="n"/>
      <c r="B137" s="453">
        <f>HYPERLINK("https://codeforces.com/contest/1237/problem/C2","CF1237-D12-C2")</f>
        <v/>
      </c>
      <c r="C137" s="418" t="n"/>
      <c r="D137" s="418" t="n"/>
      <c r="E137" s="418" t="n"/>
      <c r="F137" s="418" t="n"/>
      <c r="G137" s="418" t="n"/>
      <c r="H137" s="418" t="n"/>
      <c r="I137" s="404">
        <f>SUM(E137:H137)</f>
        <v/>
      </c>
      <c r="J137" s="404" t="n"/>
      <c r="K137" s="404" t="n"/>
      <c r="L137" s="418" t="n"/>
      <c r="M137" s="420" t="n"/>
      <c r="N137" s="488" t="inlineStr">
        <is>
          <t>adhoc, constructive</t>
        </is>
      </c>
      <c r="O137" s="488" t="n">
        <v>1</v>
      </c>
      <c r="P137" s="488" t="n">
        <v>4</v>
      </c>
      <c r="Q137" s="297" t="inlineStr">
        <is>
          <t>p3</t>
        </is>
      </c>
    </row>
    <row r="138" ht="15.75" customHeight="1" s="279">
      <c r="A138" s="420" t="inlineStr">
        <is>
          <t>Molly's Chemicals</t>
        </is>
      </c>
      <c r="B138" s="475">
        <f>HYPERLINK("http://codeforces.com/contest/776/problem/C","CF776-D2-C")</f>
        <v/>
      </c>
      <c r="C138" s="418" t="n"/>
      <c r="D138" s="418" t="n"/>
      <c r="E138" s="418" t="n"/>
      <c r="F138" s="418" t="n"/>
      <c r="G138" s="418" t="n"/>
      <c r="H138" s="418" t="n"/>
      <c r="I138" s="404">
        <f>SUM(E138:H138)</f>
        <v/>
      </c>
      <c r="J138" s="418" t="n"/>
      <c r="K138" s="418" t="n"/>
      <c r="L138" s="418" t="n"/>
      <c r="M138" s="421">
        <f>HYPERLINK("https://www.youtube.com/watch?v=5roeMaM3T3Y","Video Solution - Solver to be (Java)")</f>
        <v/>
      </c>
      <c r="N138" s="488" t="inlineStr">
        <is>
          <t>adhoc</t>
        </is>
      </c>
      <c r="O138" s="488" t="n">
        <v>1</v>
      </c>
      <c r="P138" s="488" t="n">
        <v>4</v>
      </c>
      <c r="Q138" s="297" t="inlineStr">
        <is>
          <t>p2</t>
        </is>
      </c>
    </row>
    <row r="139" ht="15.75" customHeight="1" s="279">
      <c r="A139" s="420" t="inlineStr">
        <is>
          <t>Number of Ways</t>
        </is>
      </c>
      <c r="B139" s="475">
        <f>HYPERLINK("http://codeforces.com/contest/466/problem/C","CF466-D2-C")</f>
        <v/>
      </c>
      <c r="C139" s="418" t="n"/>
      <c r="D139" s="418" t="n"/>
      <c r="E139" s="418" t="n"/>
      <c r="F139" s="418" t="n"/>
      <c r="G139" s="418" t="n"/>
      <c r="H139" s="418" t="n"/>
      <c r="I139" s="404">
        <f>SUM(E139:H139)</f>
        <v/>
      </c>
      <c r="J139" s="404" t="n"/>
      <c r="K139" s="404" t="n"/>
      <c r="L139" s="418" t="n"/>
      <c r="M139" s="475">
        <f>HYPERLINK("https://www.youtube.com/watch?v=8G06-YDc2-I","Video Solution - Solver to be (Java)")</f>
        <v/>
      </c>
      <c r="N139" s="488" t="inlineStr">
        <is>
          <t>adhoc</t>
        </is>
      </c>
      <c r="O139" s="488" t="n">
        <v>1</v>
      </c>
      <c r="P139" s="488" t="n">
        <v>4</v>
      </c>
      <c r="Q139" s="297" t="inlineStr">
        <is>
          <t>p2</t>
        </is>
      </c>
    </row>
    <row r="140" ht="15.75" customHeight="1" s="279">
      <c r="A140" s="420" t="n"/>
      <c r="B140" s="420" t="inlineStr">
        <is>
          <t>SPOJ TWINSNOW</t>
        </is>
      </c>
      <c r="C140" s="418" t="n"/>
      <c r="D140" s="418" t="n"/>
      <c r="E140" s="418" t="n"/>
      <c r="F140" s="418" t="n"/>
      <c r="G140" s="418" t="n"/>
      <c r="H140" s="418" t="n"/>
      <c r="I140" s="404">
        <f>SUM(E140:H140)</f>
        <v/>
      </c>
      <c r="J140" s="404" t="n"/>
      <c r="K140" s="404" t="n"/>
      <c r="L140" s="418" t="n"/>
      <c r="M140" s="493">
        <f>HYPERLINK("https://github.com/mostafa-saad/MyCompetitiveProgramming/blob/master/SPOJ/SPOJ_TWINSNOW.txt","Sol - text clarification")</f>
        <v/>
      </c>
      <c r="N140" s="488" t="inlineStr">
        <is>
          <t>adhoc, canonical form, [unclear text]</t>
        </is>
      </c>
      <c r="O140" s="488" t="n">
        <v>1</v>
      </c>
      <c r="P140" s="488" t="n">
        <v>4</v>
      </c>
      <c r="Q140" s="297" t="inlineStr">
        <is>
          <t>p1</t>
        </is>
      </c>
    </row>
    <row r="141" ht="15.75" customHeight="1" s="279">
      <c r="A141" s="420" t="n"/>
      <c r="B141" s="420" t="inlineStr">
        <is>
          <t>UVA 10920</t>
        </is>
      </c>
      <c r="C141" s="418" t="n"/>
      <c r="D141" s="418" t="n"/>
      <c r="E141" s="418" t="n"/>
      <c r="F141" s="418" t="n"/>
      <c r="G141" s="418" t="n"/>
      <c r="H141" s="418" t="n"/>
      <c r="I141" s="404">
        <f>SUM(E141:H141)</f>
        <v/>
      </c>
      <c r="J141" s="404" t="n"/>
      <c r="K141" s="404" t="n"/>
      <c r="L141" s="418" t="n"/>
      <c r="M141" s="421" t="inlineStr">
        <is>
          <t>Sol</t>
        </is>
      </c>
      <c r="N141" s="488" t="inlineStr">
        <is>
          <t>adhoc, coordinate systems, math or simulation, [spiral grid]</t>
        </is>
      </c>
      <c r="O141" s="488" t="n">
        <v>1</v>
      </c>
      <c r="P141" s="488" t="n">
        <v>4</v>
      </c>
      <c r="Q141" s="297" t="inlineStr">
        <is>
          <t>p1</t>
        </is>
      </c>
    </row>
    <row r="142" ht="15.75" customHeight="1" s="279">
      <c r="A142" s="420" t="n"/>
      <c r="B142" s="420" t="inlineStr">
        <is>
          <t>SRM381-D2-1000</t>
        </is>
      </c>
      <c r="C142" s="418" t="n"/>
      <c r="D142" s="418" t="n"/>
      <c r="E142" s="418" t="n"/>
      <c r="F142" s="418" t="n"/>
      <c r="G142" s="418" t="n"/>
      <c r="H142" s="418" t="n"/>
      <c r="I142" s="404">
        <f>SUM(E142:H142)</f>
        <v/>
      </c>
      <c r="J142" s="418" t="n"/>
      <c r="K142" s="418" t="n"/>
      <c r="L142" s="418" t="n"/>
      <c r="M142" s="420" t="n"/>
      <c r="N142" s="488" t="inlineStr">
        <is>
          <t>adhoc, sorting, [bubble sort]</t>
        </is>
      </c>
      <c r="O142" s="488" t="n">
        <v>1</v>
      </c>
      <c r="P142" s="488" t="n">
        <v>4</v>
      </c>
      <c r="Q142" s="297" t="inlineStr">
        <is>
          <t>p1</t>
        </is>
      </c>
    </row>
    <row r="143" ht="15.75" customHeight="1" s="279">
      <c r="A143" s="420" t="inlineStr">
        <is>
          <t>Cutting Figure</t>
        </is>
      </c>
      <c r="B143" s="475">
        <f>HYPERLINK("http://codeforces.com/contest/194/problem/C","CF194-D2-C")</f>
        <v/>
      </c>
      <c r="C143" s="418" t="n"/>
      <c r="D143" s="418" t="n"/>
      <c r="E143" s="418" t="n"/>
      <c r="F143" s="418" t="n"/>
      <c r="G143" s="418" t="n"/>
      <c r="H143" s="418" t="n"/>
      <c r="I143" s="404">
        <f>SUM(E143:H143)</f>
        <v/>
      </c>
      <c r="J143" s="418" t="n"/>
      <c r="K143" s="418" t="n"/>
      <c r="L143" s="418" t="n"/>
      <c r="M143" s="420" t="n"/>
      <c r="N143" s="488" t="inlineStr">
        <is>
          <t>adhoc</t>
        </is>
      </c>
      <c r="O143" s="488" t="n">
        <v>1</v>
      </c>
      <c r="P143" s="488" t="n">
        <v>4</v>
      </c>
    </row>
    <row r="144" ht="15.75" customHeight="1" s="279">
      <c r="A144" s="420" t="inlineStr">
        <is>
          <t>Hacker, pack your bags!</t>
        </is>
      </c>
      <c r="B144" s="475">
        <f>HYPERLINK("http://codeforces.com/contest/822/problem/C","CF822-D2-C")</f>
        <v/>
      </c>
      <c r="C144" s="418" t="n"/>
      <c r="D144" s="418" t="n"/>
      <c r="E144" s="418" t="n"/>
      <c r="F144" s="418" t="n"/>
      <c r="G144" s="418" t="n"/>
      <c r="H144" s="418" t="n"/>
      <c r="I144" s="404">
        <f>SUM(E144:H144)</f>
        <v/>
      </c>
      <c r="J144" s="404" t="n"/>
      <c r="K144" s="404" t="n"/>
      <c r="L144" s="418" t="n"/>
      <c r="M144" s="475">
        <f>HYPERLINK("https://www.youtube.com/watch?v=VvR9spazigA","Video Solution - Solver to be (Java)")</f>
        <v/>
      </c>
      <c r="N144" s="488" t="inlineStr">
        <is>
          <t>adhoc</t>
        </is>
      </c>
      <c r="O144" s="488" t="n">
        <v>1</v>
      </c>
      <c r="P144" s="488" t="n">
        <v>4</v>
      </c>
    </row>
    <row r="145" ht="15.75" customHeight="1" s="279">
      <c r="A145" s="420" t="inlineStr">
        <is>
          <t>Greg and Array</t>
        </is>
      </c>
      <c r="B145" s="475">
        <f>HYPERLINK("http://codeforces.com/contest/296/problem/C","CF296-D2-C")</f>
        <v/>
      </c>
      <c r="C145" s="418" t="n"/>
      <c r="D145" s="418" t="n"/>
      <c r="E145" s="418" t="n"/>
      <c r="F145" s="418" t="n"/>
      <c r="G145" s="418" t="n"/>
      <c r="H145" s="418" t="n"/>
      <c r="I145" s="404">
        <f>SUM(E145:H145)</f>
        <v/>
      </c>
      <c r="J145" s="418" t="n"/>
      <c r="K145" s="418" t="n"/>
      <c r="L145" s="418" t="n"/>
      <c r="M145" s="420" t="n"/>
      <c r="N145" s="488" t="inlineStr">
        <is>
          <t>adhoc, prefix sum</t>
        </is>
      </c>
      <c r="O145" s="488" t="n">
        <v>1</v>
      </c>
      <c r="P145" s="488" t="n">
        <v>4</v>
      </c>
    </row>
    <row r="146" ht="15.75" customHeight="1" s="279">
      <c r="A146" s="420" t="n"/>
      <c r="B146" s="475">
        <f>HYPERLINK("https://codeforces.com/contest/1066/problem/E","CF1066-D3-E")</f>
        <v/>
      </c>
      <c r="C146" s="418" t="n"/>
      <c r="D146" s="418" t="n"/>
      <c r="E146" s="418" t="n"/>
      <c r="F146" s="418" t="n"/>
      <c r="G146" s="418" t="n"/>
      <c r="H146" s="418" t="n"/>
      <c r="I146" s="404">
        <f>SUM(E146:H146)</f>
        <v/>
      </c>
      <c r="J146" s="418" t="n"/>
      <c r="K146" s="418" t="n"/>
      <c r="L146" s="418" t="n"/>
      <c r="M146" s="420" t="n"/>
      <c r="N146" s="488" t="inlineStr">
        <is>
          <t>adhoc, string, math</t>
        </is>
      </c>
      <c r="O146" s="488" t="n">
        <v>1</v>
      </c>
      <c r="P146" s="488" t="n">
        <v>4.25</v>
      </c>
      <c r="Q146" s="297" t="inlineStr">
        <is>
          <t>p3</t>
        </is>
      </c>
    </row>
    <row r="147" ht="15.75" customHeight="1" s="279">
      <c r="A147" s="304" t="inlineStr">
        <is>
          <t>Almost Equal</t>
        </is>
      </c>
      <c r="B147" s="474">
        <f>HYPERLINK("https://codeforces.com/contest/1206/problem/C","CF1206-D2-C")</f>
        <v/>
      </c>
      <c r="C147" s="418" t="n"/>
      <c r="D147" s="418" t="n"/>
      <c r="E147" s="418" t="n"/>
      <c r="F147" s="418" t="n"/>
      <c r="G147" s="418" t="n"/>
      <c r="H147" s="418" t="n"/>
      <c r="I147" s="404">
        <f>SUM(E147:H147)</f>
        <v/>
      </c>
      <c r="J147" s="404" t="n"/>
      <c r="K147" s="404" t="n"/>
      <c r="L147" s="295" t="n"/>
      <c r="M147" s="419">
        <f>HYPERLINK("https://www.youtube.com/watch?v=7D-8VO66OF8","Video Solution - Dr Mostafa Saad")</f>
        <v/>
      </c>
      <c r="N147" s="488" t="inlineStr">
        <is>
          <t>adhoc, constructive</t>
        </is>
      </c>
      <c r="O147" s="488" t="n">
        <v>1</v>
      </c>
      <c r="P147" s="488" t="n">
        <v>4.25</v>
      </c>
      <c r="Q147" s="297" t="inlineStr">
        <is>
          <t>p3</t>
        </is>
      </c>
    </row>
    <row r="148" ht="15.75" customHeight="1" s="279">
      <c r="A148" s="420" t="inlineStr">
        <is>
          <t>Permutations</t>
        </is>
      </c>
      <c r="B148" s="475">
        <f>HYPERLINK("http://codeforces.com/contest/189/problem/C","CF189-D2-C")</f>
        <v/>
      </c>
      <c r="C148" s="418" t="n"/>
      <c r="D148" s="418" t="n"/>
      <c r="E148" s="418" t="n"/>
      <c r="F148" s="418" t="n"/>
      <c r="G148" s="418" t="n"/>
      <c r="H148" s="418" t="n"/>
      <c r="I148" s="404">
        <f>SUM(E148:H148)</f>
        <v/>
      </c>
      <c r="J148" s="404" t="n"/>
      <c r="K148" s="404" t="n"/>
      <c r="L148" s="512" t="n"/>
      <c r="M148" s="493">
        <f>HYPERLINK("https://github.com/MedoN11/CompetitiveProgramming/blob/master/CodeForces/CF189-D1-C.cpp","Sol")</f>
        <v/>
      </c>
      <c r="N148" s="488" t="inlineStr">
        <is>
          <t>adhoc</t>
        </is>
      </c>
      <c r="O148" s="488" t="n">
        <v>1</v>
      </c>
      <c r="P148" s="488" t="n">
        <v>4.5</v>
      </c>
      <c r="Q148" s="304" t="n"/>
    </row>
    <row r="149" ht="15.75" customHeight="1" s="279">
      <c r="A149" s="420" t="n"/>
      <c r="B149" s="420" t="inlineStr">
        <is>
          <t>SRM274-D1-500</t>
        </is>
      </c>
      <c r="C149" s="418" t="n"/>
      <c r="D149" s="418" t="n"/>
      <c r="E149" s="418" t="n"/>
      <c r="F149" s="418" t="n"/>
      <c r="G149" s="418" t="n"/>
      <c r="H149" s="418" t="n"/>
      <c r="I149" s="404">
        <f>SUM(E149:H149)</f>
        <v/>
      </c>
      <c r="J149" s="404" t="n"/>
      <c r="K149" s="404" t="n"/>
      <c r="L149" s="418" t="n"/>
      <c r="M149" s="420" t="n"/>
      <c r="N149" s="488" t="inlineStr">
        <is>
          <t>adhoc, canonical form, bf or greedy</t>
        </is>
      </c>
      <c r="O149" s="488" t="n">
        <v>1</v>
      </c>
      <c r="P149" s="488" t="n">
        <v>4.5</v>
      </c>
      <c r="Q149" s="297" t="inlineStr">
        <is>
          <t>p2</t>
        </is>
      </c>
    </row>
    <row r="150" ht="15.75" customHeight="1" s="279">
      <c r="A150" s="420" t="inlineStr">
        <is>
          <t>Array Division</t>
        </is>
      </c>
      <c r="B150" s="475">
        <f>HYPERLINK("http://codeforces.com/contest/808/problem/D","CF808-D2-D")</f>
        <v/>
      </c>
      <c r="C150" s="418" t="n"/>
      <c r="D150" s="418" t="n"/>
      <c r="E150" s="418" t="n"/>
      <c r="F150" s="418" t="n"/>
      <c r="G150" s="418" t="n"/>
      <c r="H150" s="418" t="n"/>
      <c r="I150" s="404">
        <f>SUM(E150:H150)</f>
        <v/>
      </c>
      <c r="J150" s="404" t="n"/>
      <c r="K150" s="404" t="n"/>
      <c r="L150" s="418" t="n"/>
      <c r="M150" s="475">
        <f>HYPERLINK("https://www.youtube.com/watch?v=wL0s8xIQYbk","Video Solution - Solver to be (Java)")</f>
        <v/>
      </c>
      <c r="N150" s="488" t="inlineStr">
        <is>
          <t>adhoc, string prefix</t>
        </is>
      </c>
      <c r="O150" s="488" t="n">
        <v>1</v>
      </c>
      <c r="P150" s="488" t="n">
        <v>4.5</v>
      </c>
      <c r="Q150" s="297" t="inlineStr">
        <is>
          <t>p1</t>
        </is>
      </c>
    </row>
    <row r="151" ht="15.75" customHeight="1" s="279">
      <c r="A151" s="420" t="inlineStr">
        <is>
          <t>Prime Permutation</t>
        </is>
      </c>
      <c r="B151" s="475">
        <f>HYPERLINK("http://codeforces.com/contest/124/problem/C","CF124-D2-C")</f>
        <v/>
      </c>
      <c r="C151" s="418" t="n"/>
      <c r="D151" s="418" t="n"/>
      <c r="E151" s="418" t="n"/>
      <c r="F151" s="418" t="n"/>
      <c r="G151" s="418" t="n"/>
      <c r="H151" s="418" t="n"/>
      <c r="I151" s="404">
        <f>SUM(E151:H151)</f>
        <v/>
      </c>
      <c r="J151" s="418" t="n"/>
      <c r="K151" s="418" t="n"/>
      <c r="L151" s="418" t="n"/>
      <c r="M151" s="420" t="n"/>
      <c r="N151" s="488" t="inlineStr">
        <is>
          <t>adhoc, constructive</t>
        </is>
      </c>
      <c r="O151" s="488" t="n">
        <v>1</v>
      </c>
      <c r="P151" s="488" t="n">
        <v>4.5</v>
      </c>
    </row>
    <row r="152" ht="15.75" customHeight="1" s="279">
      <c r="A152" s="420" t="inlineStr">
        <is>
          <t>Try and Catch</t>
        </is>
      </c>
      <c r="B152" s="475">
        <f>HYPERLINK("http://codeforces.com/contest/195/problem/C","CF195-D2-C")</f>
        <v/>
      </c>
      <c r="C152" s="418" t="n"/>
      <c r="D152" s="418" t="n"/>
      <c r="E152" s="418" t="n"/>
      <c r="F152" s="418" t="n"/>
      <c r="G152" s="418" t="n"/>
      <c r="H152" s="418" t="n"/>
      <c r="I152" s="404">
        <f>SUM(E152:H152)</f>
        <v/>
      </c>
      <c r="J152" s="404" t="n"/>
      <c r="K152" s="404" t="n"/>
      <c r="L152" s="418" t="n"/>
      <c r="M152" s="475">
        <f>HYPERLINK("https://github.com/mostafa-saad/MyCompetitiveProgramming/blob/master/Codeforces/CF195-D2-C-Ahmed%20Osama.pdf","Editorial - Eng Ahmed Osama")</f>
        <v/>
      </c>
      <c r="N152" s="488" t="inlineStr">
        <is>
          <t>adhoc, string parsing</t>
        </is>
      </c>
      <c r="O152" s="488" t="n">
        <v>1</v>
      </c>
      <c r="P152" s="488" t="n">
        <v>4.5</v>
      </c>
    </row>
    <row r="153" ht="15.75" customHeight="1" s="279">
      <c r="A153" s="420" t="inlineStr">
        <is>
          <t>Title</t>
        </is>
      </c>
      <c r="B153" s="475">
        <f>HYPERLINK("http://codeforces.com/contest/59/problem/C","CF59-D2-C")</f>
        <v/>
      </c>
      <c r="C153" s="418" t="n"/>
      <c r="D153" s="418" t="n"/>
      <c r="E153" s="418" t="n"/>
      <c r="F153" s="418" t="n"/>
      <c r="G153" s="418" t="n"/>
      <c r="H153" s="418" t="n"/>
      <c r="I153" s="404">
        <f>SUM(E153:H153)</f>
        <v/>
      </c>
      <c r="J153" s="418" t="n"/>
      <c r="K153" s="418" t="n"/>
      <c r="L153" s="512" t="n"/>
      <c r="M153" s="420" t="n"/>
      <c r="N153" s="488" t="inlineStr">
        <is>
          <t>adhoc, string parsing</t>
        </is>
      </c>
      <c r="O153" s="488" t="n">
        <v>1</v>
      </c>
      <c r="P153" s="488" t="n">
        <v>4.5</v>
      </c>
    </row>
    <row r="154" ht="15.75" customHeight="1" s="279">
      <c r="A154" s="420" t="n"/>
      <c r="B154" s="475">
        <f>HYPERLINK("http://codeforces.com/contest/309/problem/C","CF309-D1-C")</f>
        <v/>
      </c>
      <c r="C154" s="418" t="n"/>
      <c r="D154" s="418" t="n"/>
      <c r="E154" s="418" t="n"/>
      <c r="F154" s="418" t="n"/>
      <c r="G154" s="418" t="n"/>
      <c r="H154" s="418" t="n"/>
      <c r="I154" s="404">
        <f>SUM(E154:H154)</f>
        <v/>
      </c>
      <c r="J154" s="404" t="n"/>
      <c r="K154" s="404" t="n"/>
      <c r="L154" s="418" t="n"/>
      <c r="M154" s="305" t="n"/>
      <c r="N154" s="488" t="inlineStr">
        <is>
          <t>adhoc, binary search, bitmasks or rmq</t>
        </is>
      </c>
      <c r="O154" s="488" t="n">
        <v>1</v>
      </c>
      <c r="P154" s="488" t="n">
        <v>5</v>
      </c>
      <c r="Q154" s="297" t="inlineStr">
        <is>
          <t>p3</t>
        </is>
      </c>
    </row>
    <row r="155" ht="15.75" customHeight="1" s="279">
      <c r="A155" s="420" t="n"/>
      <c r="B155" s="420" t="inlineStr">
        <is>
          <t>SPOJ KOMPICI</t>
        </is>
      </c>
      <c r="C155" s="418" t="n"/>
      <c r="D155" s="418" t="n"/>
      <c r="E155" s="418" t="n"/>
      <c r="F155" s="418" t="n"/>
      <c r="G155" s="418" t="n"/>
      <c r="H155" s="418" t="n"/>
      <c r="I155" s="404">
        <f>SUM(E155:H155)</f>
        <v/>
      </c>
      <c r="J155" s="404" t="n"/>
      <c r="K155" s="404" t="n"/>
      <c r="L155" s="418" t="n"/>
      <c r="M155" s="420" t="n"/>
      <c r="N155" s="488" t="inlineStr">
        <is>
          <t>adhoc, bitmasks, [=spoj iitkwpch]</t>
        </is>
      </c>
      <c r="O155" s="488" t="n">
        <v>1</v>
      </c>
      <c r="P155" s="488" t="n">
        <v>5</v>
      </c>
      <c r="Q155" s="297" t="inlineStr">
        <is>
          <t>p3</t>
        </is>
      </c>
    </row>
    <row r="156" ht="15.75" customHeight="1" s="279">
      <c r="A156" s="420" t="inlineStr">
        <is>
          <t>Lucky Transformation</t>
        </is>
      </c>
      <c r="B156" s="475">
        <f>HYPERLINK("http://codeforces.com/contest/122/problem/D","CF122-D2-D")</f>
        <v/>
      </c>
      <c r="C156" s="418" t="n"/>
      <c r="D156" s="418" t="n"/>
      <c r="E156" s="418" t="n"/>
      <c r="F156" s="418" t="n"/>
      <c r="G156" s="418" t="n"/>
      <c r="H156" s="418" t="n"/>
      <c r="I156" s="404">
        <f>SUM(E156:H156)</f>
        <v/>
      </c>
      <c r="J156" s="404" t="n"/>
      <c r="K156" s="404" t="n"/>
      <c r="L156" s="512" t="n"/>
      <c r="M156" s="488" t="n"/>
      <c r="N156" s="488" t="inlineStr">
        <is>
          <t>adhoc, impl</t>
        </is>
      </c>
      <c r="O156" s="488" t="n">
        <v>1</v>
      </c>
      <c r="P156" s="488" t="n">
        <v>5</v>
      </c>
      <c r="Q156" s="297" t="inlineStr">
        <is>
          <t>p3</t>
        </is>
      </c>
    </row>
    <row r="157" ht="15.75" customHeight="1" s="279">
      <c r="A157" s="420" t="n"/>
      <c r="B157" s="420" t="inlineStr">
        <is>
          <t>SPOJ PARSUMS</t>
        </is>
      </c>
      <c r="C157" s="418" t="n"/>
      <c r="D157" s="418" t="n"/>
      <c r="E157" s="418" t="n"/>
      <c r="F157" s="418" t="n"/>
      <c r="G157" s="418" t="n"/>
      <c r="H157" s="418" t="n"/>
      <c r="I157" s="404">
        <f>SUM(E157:H157)</f>
        <v/>
      </c>
      <c r="J157" s="418" t="n"/>
      <c r="K157" s="418" t="n"/>
      <c r="L157" s="512" t="n"/>
      <c r="M157" s="493">
        <f>HYPERLINK("https://github.com/mostafa-saad/MyCompetitiveProgramming/blob/master/SPOJ/SPOJ_PARSUMS.txt","Sol")</f>
        <v/>
      </c>
      <c r="N157" s="488" t="inlineStr">
        <is>
          <t>adhoc, cyclic shifts, partial sum or segment tree</t>
        </is>
      </c>
      <c r="O157" s="488" t="n">
        <v>1</v>
      </c>
      <c r="P157" s="488" t="n">
        <v>5</v>
      </c>
      <c r="Q157" s="297" t="inlineStr">
        <is>
          <t>p2</t>
        </is>
      </c>
    </row>
    <row r="158" ht="15.75" customHeight="1" s="279">
      <c r="A158" s="420" t="n"/>
      <c r="B158" s="475">
        <f>HYPERLINK("https://www.codechef.com/LTIME64B/problems/OPPOSITE" , "CODECHEF OPPOSITE")</f>
        <v/>
      </c>
      <c r="C158" s="418" t="n"/>
      <c r="D158" s="418" t="n"/>
      <c r="E158" s="418" t="n"/>
      <c r="F158" s="418" t="n"/>
      <c r="G158" s="418" t="n"/>
      <c r="H158" s="418" t="n"/>
      <c r="I158" s="404">
        <f>SUM(E158:H158)</f>
        <v/>
      </c>
      <c r="J158" s="404" t="n"/>
      <c r="K158" s="404" t="n"/>
      <c r="L158" s="418" t="n"/>
      <c r="M158" s="420" t="n"/>
      <c r="N158" s="488" t="inlineStr">
        <is>
          <t>adhoc</t>
        </is>
      </c>
      <c r="O158" s="488" t="n">
        <v>1</v>
      </c>
      <c r="P158" s="488" t="n">
        <v>5</v>
      </c>
      <c r="Q158" s="297" t="inlineStr">
        <is>
          <t>p2</t>
        </is>
      </c>
    </row>
    <row r="159" ht="15.75" customHeight="1" s="279">
      <c r="A159" s="420" t="n"/>
      <c r="B159" s="420" t="inlineStr">
        <is>
          <t>SRM321-D1-500</t>
        </is>
      </c>
      <c r="C159" s="418" t="n"/>
      <c r="D159" s="418" t="n"/>
      <c r="E159" s="418" t="n"/>
      <c r="F159" s="418" t="n"/>
      <c r="G159" s="418" t="n"/>
      <c r="H159" s="418" t="n"/>
      <c r="I159" s="404">
        <f>SUM(E159:H159)</f>
        <v/>
      </c>
      <c r="J159" s="418" t="n"/>
      <c r="K159" s="418" t="n"/>
      <c r="L159" s="418" t="n"/>
      <c r="M159" s="488" t="inlineStr">
        <is>
          <t>See Rushiose's code in arena summary</t>
        </is>
      </c>
      <c r="N159" s="488" t="inlineStr">
        <is>
          <t>adhoc, sorting, [print the smallest lexicographically]</t>
        </is>
      </c>
      <c r="O159" s="488" t="n">
        <v>1</v>
      </c>
      <c r="P159" s="488" t="n">
        <v>5</v>
      </c>
      <c r="Q159" s="297" t="inlineStr">
        <is>
          <t>p2</t>
        </is>
      </c>
    </row>
    <row r="160" ht="15.75" customHeight="1" s="279">
      <c r="A160" s="420" t="inlineStr">
        <is>
          <t>Fish Weight</t>
        </is>
      </c>
      <c r="B160" s="475">
        <f>HYPERLINK("http://codeforces.com/contest/298/problem/D","CF298-D2-D")</f>
        <v/>
      </c>
      <c r="C160" s="418" t="n"/>
      <c r="D160" s="418" t="n"/>
      <c r="E160" s="418" t="n"/>
      <c r="F160" s="418" t="n"/>
      <c r="G160" s="418" t="n"/>
      <c r="H160" s="418" t="n"/>
      <c r="I160" s="404">
        <f>SUM(E160:H160)</f>
        <v/>
      </c>
      <c r="J160" s="404" t="n"/>
      <c r="K160" s="404" t="n"/>
      <c r="L160" s="512" t="n"/>
      <c r="M160" s="420" t="n"/>
      <c r="N160" s="488" t="inlineStr">
        <is>
          <t>adhoc</t>
        </is>
      </c>
      <c r="O160" s="488" t="n">
        <v>1</v>
      </c>
      <c r="P160" s="488" t="n">
        <v>5</v>
      </c>
    </row>
    <row r="161" ht="15.75" customHeight="1" s="279">
      <c r="A161" s="420" t="inlineStr">
        <is>
          <t>Dividing Island</t>
        </is>
      </c>
      <c r="B161" s="475">
        <f>HYPERLINK("http://codeforces.com/contest/63/problem/D","CF63-D2-D")</f>
        <v/>
      </c>
      <c r="C161" s="418" t="n"/>
      <c r="D161" s="418" t="n"/>
      <c r="E161" s="418" t="n"/>
      <c r="F161" s="418" t="n"/>
      <c r="G161" s="418" t="n"/>
      <c r="H161" s="418" t="n"/>
      <c r="I161" s="404">
        <f>SUM(E161:H161)</f>
        <v/>
      </c>
      <c r="J161" s="418" t="n"/>
      <c r="K161" s="418" t="n"/>
      <c r="L161" s="418" t="n"/>
      <c r="M161" s="420" t="n"/>
      <c r="N161" s="488" t="inlineStr">
        <is>
          <t>adhoc</t>
        </is>
      </c>
      <c r="O161" s="488" t="n">
        <v>1</v>
      </c>
      <c r="P161" s="488" t="n">
        <v>5</v>
      </c>
    </row>
    <row r="162" ht="15.75" customHeight="1" s="279">
      <c r="A162" s="420" t="inlineStr">
        <is>
          <t>Median Smoothing</t>
        </is>
      </c>
      <c r="B162" s="475">
        <f>HYPERLINK("http://codeforces.com/contest/591/problem/C","CF591-D2-C")</f>
        <v/>
      </c>
      <c r="C162" s="418" t="n"/>
      <c r="D162" s="418" t="n"/>
      <c r="E162" s="418" t="n"/>
      <c r="F162" s="418" t="n"/>
      <c r="G162" s="418" t="n"/>
      <c r="H162" s="418" t="n"/>
      <c r="I162" s="404">
        <f>SUM(E162:H162)</f>
        <v/>
      </c>
      <c r="J162" s="404" t="n"/>
      <c r="K162" s="404" t="n"/>
      <c r="L162" s="418" t="n"/>
      <c r="M162" s="475">
        <f>HYPERLINK("https://codeforces.com/blog/entry/21203","Editorial")</f>
        <v/>
      </c>
      <c r="N162" s="488" t="inlineStr">
        <is>
          <t>adhoc, constructive, impl</t>
        </is>
      </c>
      <c r="O162" s="488" t="n">
        <v>1</v>
      </c>
      <c r="P162" s="488" t="n">
        <v>5</v>
      </c>
    </row>
    <row r="163" ht="15.75" customHeight="1" s="279">
      <c r="A163" s="420" t="n"/>
      <c r="B163" s="475">
        <f>HYPERLINK("http://codeforces.com/contest/23/problem/C","CF23-D12-C")</f>
        <v/>
      </c>
      <c r="C163" s="418" t="n"/>
      <c r="D163" s="418" t="n"/>
      <c r="E163" s="418" t="n"/>
      <c r="F163" s="418" t="n"/>
      <c r="G163" s="418" t="n"/>
      <c r="H163" s="418" t="n"/>
      <c r="I163" s="404">
        <f>SUM(E163:H163)</f>
        <v/>
      </c>
      <c r="J163" s="418" t="n"/>
      <c r="K163" s="418" t="n"/>
      <c r="L163" s="418" t="n"/>
      <c r="M163" s="421" t="n"/>
      <c r="N163" s="488" t="inlineStr">
        <is>
          <t>adhoc, sortings, overflow</t>
        </is>
      </c>
      <c r="O163" s="488" t="n">
        <v>1</v>
      </c>
      <c r="P163" s="488" t="n">
        <v>5.25</v>
      </c>
      <c r="Q163" s="297" t="inlineStr">
        <is>
          <t>p3</t>
        </is>
      </c>
    </row>
    <row r="164" ht="15.75" customHeight="1" s="279">
      <c r="A164" s="420" t="n"/>
      <c r="B164" s="475">
        <f>HYPERLINK("http://codeforces.com/gym/101589/problem/F","CF101589-GYM-F")</f>
        <v/>
      </c>
      <c r="C164" s="418" t="n"/>
      <c r="D164" s="418" t="n"/>
      <c r="E164" s="418" t="n"/>
      <c r="F164" s="418" t="n"/>
      <c r="G164" s="418" t="n"/>
      <c r="H164" s="418" t="n"/>
      <c r="I164" s="404">
        <f>SUM(E164:H164)</f>
        <v/>
      </c>
      <c r="J164" s="418" t="n"/>
      <c r="K164" s="418" t="n"/>
      <c r="L164" s="418" t="n"/>
      <c r="M164" s="493">
        <f>HYPERLINK("https://github.com/SpeedOfMagic/CompetitiveProgramming/blob/master/CodeforcesGym/CF101589-GYM-F.cpp","Sol")</f>
        <v/>
      </c>
      <c r="N164" s="488" t="inlineStr">
        <is>
          <t>adhoc</t>
        </is>
      </c>
      <c r="O164" s="488" t="n">
        <v>1</v>
      </c>
      <c r="P164" s="488" t="n">
        <v>5.75</v>
      </c>
    </row>
    <row r="165" ht="15.75" customHeight="1" s="279">
      <c r="A165" s="420" t="n"/>
      <c r="B165" s="475">
        <f>HYPERLINK("https://beta.atcoder.jp/contests/arc092/tasks/arc092_b","Atcoder092-ARC-B")</f>
        <v/>
      </c>
      <c r="C165" s="418" t="n"/>
      <c r="D165" s="418" t="n"/>
      <c r="E165" s="418" t="n"/>
      <c r="F165" s="418" t="n"/>
      <c r="G165" s="418" t="n"/>
      <c r="H165" s="418" t="n"/>
      <c r="I165" s="404">
        <f>SUM(E165:H165)</f>
        <v/>
      </c>
      <c r="J165" s="418" t="n"/>
      <c r="K165" s="418" t="n"/>
      <c r="L165" s="418" t="n"/>
      <c r="M165" s="420" t="n"/>
      <c r="N165" s="488" t="inlineStr">
        <is>
          <t>adhoc, bitmasks, binary search</t>
        </is>
      </c>
      <c r="O165" s="488" t="n">
        <v>1</v>
      </c>
      <c r="P165" s="488" t="n">
        <v>6</v>
      </c>
      <c r="Q165" s="297" t="inlineStr">
        <is>
          <t>p3</t>
        </is>
      </c>
    </row>
    <row r="166" ht="15.75" customHeight="1" s="279">
      <c r="A166" s="420" t="inlineStr">
        <is>
          <t>23 out of 5</t>
        </is>
      </c>
      <c r="B166" s="475">
        <f>HYPERLINK("https://uva.onlinejudge.org/index.php?option=com_onlinejudge&amp;Itemid=8&amp;page=show_problem&amp;problem=1285","UVA 10344")</f>
        <v/>
      </c>
      <c r="C166" s="418" t="n"/>
      <c r="D166" s="418" t="n"/>
      <c r="E166" s="418" t="n"/>
      <c r="F166" s="418" t="n"/>
      <c r="G166" s="418" t="n"/>
      <c r="H166" s="418" t="n"/>
      <c r="I166" s="404">
        <f>SUM(E166:H166)</f>
        <v/>
      </c>
      <c r="J166" s="404" t="n"/>
      <c r="K166" s="404" t="n"/>
      <c r="L166" s="418" t="n"/>
      <c r="M166" s="493">
        <f>HYPERLINK("https://www.youtube.com/watch?v=WX7rIgcgnBs","Video Solution - Eng Mohamed Nasser")</f>
        <v/>
      </c>
      <c r="N166" s="488" t="inlineStr">
        <is>
          <t>backtrack</t>
        </is>
      </c>
      <c r="O166" s="488" t="n">
        <v>2</v>
      </c>
      <c r="P166" s="488" t="n">
        <v>2</v>
      </c>
    </row>
    <row r="167" ht="15.75" customHeight="1" s="279">
      <c r="A167" s="420" t="inlineStr">
        <is>
          <t>8 Queens Chess Problem</t>
        </is>
      </c>
      <c r="B167" s="475">
        <f>HYPERLINK("https://uva.onlinejudge.org/index.php?option=com_onlinejudge&amp;Itemid=8&amp;page=show_problem&amp;problem=691","UVA 750")</f>
        <v/>
      </c>
      <c r="C167" s="418" t="n"/>
      <c r="D167" s="418" t="n"/>
      <c r="E167" s="418" t="n"/>
      <c r="F167" s="418" t="n"/>
      <c r="G167" s="418" t="n"/>
      <c r="H167" s="418" t="n"/>
      <c r="I167" s="404">
        <f>SUM(E167:H167)</f>
        <v/>
      </c>
      <c r="J167" s="404" t="n"/>
      <c r="K167" s="404" t="n"/>
      <c r="L167" s="418" t="n"/>
      <c r="M167" s="493">
        <f>HYPERLINK("https://www.youtube.com/watch?v=3jMlUYEVgL0","Video Solution - Eng Ayman Salah")</f>
        <v/>
      </c>
      <c r="N167" s="488" t="inlineStr">
        <is>
          <t>backtrack</t>
        </is>
      </c>
      <c r="O167" s="488" t="n">
        <v>2</v>
      </c>
      <c r="P167" s="488" t="n">
        <v>4</v>
      </c>
    </row>
    <row r="168" ht="15.75" customHeight="1" s="279">
      <c r="A168" s="420" t="inlineStr">
        <is>
          <t>Graph Coloring</t>
        </is>
      </c>
      <c r="B168" s="475">
        <f>HYPERLINK("https://uva.onlinejudge.org/index.php?option=com_onlinejudge&amp;Itemid=8&amp;page=show_problem&amp;problem=129","UVA 193")</f>
        <v/>
      </c>
      <c r="C168" s="418" t="n"/>
      <c r="D168" s="418" t="n"/>
      <c r="E168" s="418" t="n"/>
      <c r="F168" s="418" t="n"/>
      <c r="G168" s="418" t="n"/>
      <c r="H168" s="418" t="n"/>
      <c r="I168" s="404">
        <f>SUM(E168:H168)</f>
        <v/>
      </c>
      <c r="J168" s="404" t="n"/>
      <c r="K168" s="404" t="n"/>
      <c r="L168" s="418" t="n"/>
      <c r="M168" s="493">
        <f>HYPERLINK("https://www.youtube.com/watch?v=0hOK2hgqNE4","Video Solution - Dr Mostafa Saad")</f>
        <v/>
      </c>
      <c r="N168" s="488" t="inlineStr">
        <is>
          <t>backtrack, graph, maximum independent set</t>
        </is>
      </c>
      <c r="O168" s="488" t="n">
        <v>2</v>
      </c>
      <c r="P168" s="488" t="n">
        <v>4</v>
      </c>
    </row>
    <row r="169" ht="15.75" customHeight="1" s="279">
      <c r="A169" s="420" t="inlineStr">
        <is>
          <t>Safe</t>
        </is>
      </c>
      <c r="B169" s="475">
        <f>HYPERLINK("http://codeforces.com/contest/47/problem/D","CF47-D2-D")</f>
        <v/>
      </c>
      <c r="C169" s="418" t="n"/>
      <c r="D169" s="418" t="n"/>
      <c r="E169" s="418" t="n"/>
      <c r="F169" s="418" t="n"/>
      <c r="G169" s="418" t="n"/>
      <c r="H169" s="418" t="n"/>
      <c r="I169" s="404">
        <f>SUM(E169:H169)</f>
        <v/>
      </c>
      <c r="J169" s="418" t="n"/>
      <c r="K169" s="418" t="n"/>
      <c r="L169" s="418" t="n"/>
      <c r="M169" s="420" t="n"/>
      <c r="N169" s="488" t="inlineStr">
        <is>
          <t>backtrack, datastructures, impl</t>
        </is>
      </c>
      <c r="O169" s="488" t="n">
        <v>2</v>
      </c>
      <c r="P169" s="488" t="n">
        <v>5</v>
      </c>
      <c r="Q169" s="297" t="inlineStr">
        <is>
          <t>p3</t>
        </is>
      </c>
    </row>
    <row r="170" ht="15.75" customHeight="1" s="279">
      <c r="A170" s="420" t="inlineStr">
        <is>
          <t>Jimmi's Riddles</t>
        </is>
      </c>
      <c r="B170" s="475">
        <f>HYPERLINK("https://uva.onlinejudge.org/index.php?option=com_onlinejudge&amp;Itemid=8&amp;page=show_problem&amp;problem=999","UVA 10058")</f>
        <v/>
      </c>
      <c r="C170" s="418" t="n"/>
      <c r="D170" s="418" t="n"/>
      <c r="E170" s="418" t="n"/>
      <c r="F170" s="418" t="n"/>
      <c r="G170" s="418" t="n"/>
      <c r="H170" s="418" t="n"/>
      <c r="I170" s="404">
        <f>SUM(E170:H170)</f>
        <v/>
      </c>
      <c r="J170" s="404" t="n"/>
      <c r="K170" s="404" t="n"/>
      <c r="L170" s="512" t="n"/>
      <c r="M170" s="493">
        <f>HYPERLINK("https://github.com/ackoroa/UVa-Solutions/blob/master/UVa%2010058%20-%20Jimmi's%20Riddles/src/Main.java","Sol")</f>
        <v/>
      </c>
      <c r="N170" s="488" t="inlineStr">
        <is>
          <t>backtrack, expression parsing</t>
        </is>
      </c>
      <c r="O170" s="488" t="n">
        <v>3</v>
      </c>
      <c r="P170" s="488" t="n">
        <v>4</v>
      </c>
      <c r="Q170" s="297" t="inlineStr">
        <is>
          <t>p3</t>
        </is>
      </c>
    </row>
    <row r="171" ht="15.75" customHeight="1" s="279">
      <c r="A171" s="420" t="inlineStr">
        <is>
          <t>Grammar Evaluation</t>
        </is>
      </c>
      <c r="B171" s="475">
        <f>HYPERLINK("https://uva.onlinejudge.org/index.php?option=onlinejudge&amp;page=show_problem&amp;problem=563","UVA 622")</f>
        <v/>
      </c>
      <c r="C171" s="418" t="n"/>
      <c r="D171" s="418" t="n"/>
      <c r="E171" s="418" t="n"/>
      <c r="F171" s="418" t="n"/>
      <c r="G171" s="418" t="n"/>
      <c r="H171" s="418" t="n"/>
      <c r="I171" s="404">
        <f>SUM(E171:H171)</f>
        <v/>
      </c>
      <c r="J171" s="404" t="n"/>
      <c r="K171" s="404" t="n"/>
      <c r="L171" s="512" t="n"/>
      <c r="M171" s="493">
        <f>HYPERLINK("https://github.com/mostafa-saad/MyCompetitiveProgramming/blob/master/UVA/622.cpp","Sol")</f>
        <v/>
      </c>
      <c r="N171" s="488" t="inlineStr">
        <is>
          <t>backtrack, expression parsing, [cnf]</t>
        </is>
      </c>
      <c r="O171" s="488" t="n">
        <v>3</v>
      </c>
      <c r="P171" s="488" t="n">
        <v>5</v>
      </c>
      <c r="Q171" s="297" t="inlineStr">
        <is>
          <t>p4</t>
        </is>
      </c>
    </row>
    <row r="172" ht="15.75" customHeight="1" s="279">
      <c r="A172" s="420" t="inlineStr">
        <is>
          <t>Help Vasilisa the Wise 2</t>
        </is>
      </c>
      <c r="B172" s="475">
        <f>HYPERLINK("http://codeforces.com/contest/143/problem/A","CF143-D2-A")</f>
        <v/>
      </c>
      <c r="C172" s="418" t="n"/>
      <c r="D172" s="418" t="n"/>
      <c r="E172" s="418" t="n"/>
      <c r="F172" s="418" t="n"/>
      <c r="G172" s="418" t="n"/>
      <c r="H172" s="418" t="n"/>
      <c r="I172" s="404">
        <f>SUM(E172:H172)</f>
        <v/>
      </c>
      <c r="J172" s="451" t="n"/>
      <c r="K172" s="404" t="n"/>
      <c r="L172" s="451" t="n"/>
      <c r="M172" s="408">
        <f>HYPERLINK("https://www.youtube.com/watch?v=cmMkGSMHTKE","Video Solution - Eng John Gamal")</f>
        <v/>
      </c>
      <c r="N172" s="488" t="inlineStr">
        <is>
          <t>bf</t>
        </is>
      </c>
      <c r="O172" s="488" t="n">
        <v>5</v>
      </c>
      <c r="P172" s="488" t="n">
        <v>1.5</v>
      </c>
    </row>
    <row r="173" ht="15.75" customHeight="1" s="279">
      <c r="A173" s="420" t="inlineStr">
        <is>
          <t>Gerald is into Art</t>
        </is>
      </c>
      <c r="B173" s="475">
        <f>HYPERLINK("http://codeforces.com/contest/560/problem/B","CF560-D2-B")</f>
        <v/>
      </c>
      <c r="C173" s="418" t="n"/>
      <c r="D173" s="418" t="n"/>
      <c r="E173" s="418" t="n"/>
      <c r="F173" s="418" t="n"/>
      <c r="G173" s="418" t="n"/>
      <c r="H173" s="418" t="n"/>
      <c r="I173" s="404">
        <f>SUM(E173:H173)</f>
        <v/>
      </c>
      <c r="J173" s="418" t="n"/>
      <c r="K173" s="418" t="n"/>
      <c r="L173" s="418" t="n"/>
      <c r="M173" s="421" t="n"/>
      <c r="N173" s="488" t="inlineStr">
        <is>
          <t>bf</t>
        </is>
      </c>
      <c r="O173" s="488" t="n">
        <v>5</v>
      </c>
      <c r="P173" s="488" t="n">
        <v>2</v>
      </c>
    </row>
    <row r="174" ht="15.75" customHeight="1" s="279">
      <c r="A174" s="420" t="inlineStr">
        <is>
          <t>Simple Game</t>
        </is>
      </c>
      <c r="B174" s="475">
        <f>HYPERLINK("http://codeforces.com/contest/570/problem/B","CF570-D2-B")</f>
        <v/>
      </c>
      <c r="C174" s="418" t="n"/>
      <c r="D174" s="418" t="n"/>
      <c r="E174" s="418" t="n"/>
      <c r="F174" s="418" t="n"/>
      <c r="G174" s="418" t="n"/>
      <c r="H174" s="418" t="n"/>
      <c r="I174" s="404">
        <f>SUM(E174:H174)</f>
        <v/>
      </c>
      <c r="J174" s="404" t="n"/>
      <c r="K174" s="404" t="n"/>
      <c r="L174" s="418" t="n"/>
      <c r="M174" s="488" t="n"/>
      <c r="N174" s="488" t="inlineStr">
        <is>
          <t>bf</t>
        </is>
      </c>
      <c r="O174" s="488" t="n">
        <v>5</v>
      </c>
      <c r="P174" s="488" t="n">
        <v>2</v>
      </c>
    </row>
    <row r="175" ht="15.75" customHeight="1" s="279">
      <c r="A175" s="420" t="inlineStr">
        <is>
          <t>Students and Shoelaces</t>
        </is>
      </c>
      <c r="B175" s="475">
        <f>HYPERLINK("http://codeforces.com/contest/129/problem/B","CF129-D2-B")</f>
        <v/>
      </c>
      <c r="C175" s="418" t="n"/>
      <c r="D175" s="418" t="n"/>
      <c r="E175" s="418" t="n"/>
      <c r="F175" s="418" t="n"/>
      <c r="G175" s="418" t="n"/>
      <c r="H175" s="418" t="n"/>
      <c r="I175" s="404">
        <f>SUM(E175:H175)</f>
        <v/>
      </c>
      <c r="J175" s="404" t="n"/>
      <c r="K175" s="404" t="n"/>
      <c r="L175" s="418" t="n"/>
      <c r="M175" s="475">
        <f>HYPERLINK("https://www.youtube.com/watch?v=si51JINxbpk&amp;feature=youtu.be","Video Solution - Eng Abanob Ashraf")</f>
        <v/>
      </c>
      <c r="N175" s="511" t="inlineStr">
        <is>
          <t>bf</t>
        </is>
      </c>
      <c r="O175" s="488" t="n">
        <v>5</v>
      </c>
      <c r="P175" s="488" t="n">
        <v>2</v>
      </c>
    </row>
    <row r="176" ht="15.75" customHeight="1" s="279">
      <c r="A176" s="420" t="inlineStr">
        <is>
          <t>Balls Game</t>
        </is>
      </c>
      <c r="B176" s="475">
        <f>HYPERLINK("http://codeforces.com/contest/430/problem/B","CF430-D2-B")</f>
        <v/>
      </c>
      <c r="C176" s="418" t="n"/>
      <c r="D176" s="418" t="n"/>
      <c r="E176" s="418" t="n"/>
      <c r="F176" s="418" t="n"/>
      <c r="G176" s="418" t="n"/>
      <c r="H176" s="418" t="n"/>
      <c r="I176" s="404">
        <f>SUM(E176:H176)</f>
        <v/>
      </c>
      <c r="J176" s="404" t="n"/>
      <c r="K176" s="404" t="n"/>
      <c r="L176" s="418" t="n"/>
      <c r="M176" s="420" t="n"/>
      <c r="N176" s="488" t="inlineStr">
        <is>
          <t>bf, two pointers</t>
        </is>
      </c>
      <c r="O176" s="488" t="n">
        <v>5</v>
      </c>
      <c r="P176" s="488" t="n">
        <v>3</v>
      </c>
      <c r="Q176" s="297" t="inlineStr">
        <is>
          <t>p2</t>
        </is>
      </c>
    </row>
    <row r="177" ht="15.75" customHeight="1" s="279">
      <c r="A177" s="420" t="inlineStr">
        <is>
          <t>Cut Ribbon</t>
        </is>
      </c>
      <c r="B177" s="475">
        <f>HYPERLINK("http://codeforces.com/contest/189/problem/A","CF189-D2-A")</f>
        <v/>
      </c>
      <c r="C177" s="418" t="n"/>
      <c r="D177" s="418" t="n"/>
      <c r="E177" s="418" t="n"/>
      <c r="F177" s="418" t="n"/>
      <c r="G177" s="418" t="n"/>
      <c r="H177" s="418" t="n"/>
      <c r="I177" s="404">
        <f>SUM(E177:H177)</f>
        <v/>
      </c>
      <c r="J177" s="404" t="n"/>
      <c r="K177" s="404" t="n"/>
      <c r="L177" s="418" t="n"/>
      <c r="M177" s="475">
        <f>HYPERLINK("https://www.youtube.com/watch?v=4VBt8sKocyw","Video Solution - Solver to be (Java)")</f>
        <v/>
      </c>
      <c r="N177" s="488" t="inlineStr">
        <is>
          <t>bf</t>
        </is>
      </c>
      <c r="O177" s="488" t="n">
        <v>5</v>
      </c>
      <c r="P177" s="488" t="n">
        <v>3</v>
      </c>
    </row>
    <row r="178" ht="15.75" customHeight="1" s="279">
      <c r="A178" s="420" t="inlineStr">
        <is>
          <t>Searching for Graph</t>
        </is>
      </c>
      <c r="B178" s="475">
        <f>HYPERLINK("http://codeforces.com/contest/402/problem/C","CF402-D2-C")</f>
        <v/>
      </c>
      <c r="C178" s="418" t="n"/>
      <c r="D178" s="418" t="n"/>
      <c r="E178" s="418" t="n"/>
      <c r="F178" s="418" t="n"/>
      <c r="G178" s="418" t="n"/>
      <c r="H178" s="418" t="n"/>
      <c r="I178" s="404">
        <f>SUM(E178:H178)</f>
        <v/>
      </c>
      <c r="J178" s="404" t="n"/>
      <c r="K178" s="404" t="n"/>
      <c r="L178" s="418" t="n"/>
      <c r="M178" s="488" t="n"/>
      <c r="N178" s="488" t="inlineStr">
        <is>
          <t>bf, constructive</t>
        </is>
      </c>
      <c r="O178" s="488" t="n">
        <v>5</v>
      </c>
      <c r="P178" s="488" t="n">
        <v>3</v>
      </c>
    </row>
    <row r="179" ht="15.75" customHeight="1" s="279">
      <c r="A179" s="420" t="inlineStr">
        <is>
          <t>Bulls and Cows</t>
        </is>
      </c>
      <c r="B179" s="475">
        <f>HYPERLINK("http://codeforces.com/contest/63/problem/C","CF63-D2-C")</f>
        <v/>
      </c>
      <c r="C179" s="418" t="n"/>
      <c r="D179" s="418" t="n"/>
      <c r="E179" s="418" t="n"/>
      <c r="F179" s="418" t="n"/>
      <c r="G179" s="418" t="n"/>
      <c r="H179" s="418" t="n"/>
      <c r="I179" s="404">
        <f>SUM(E179:H179)</f>
        <v/>
      </c>
      <c r="J179" s="404" t="n"/>
      <c r="K179" s="404" t="n"/>
      <c r="L179" s="418" t="n"/>
      <c r="M179" s="493">
        <f>HYPERLINK("https://github.com/ilyesG/Competitive-Programming/blob/master/CodeForces/CF63-D2-C.cpp","Sol")</f>
        <v/>
      </c>
      <c r="N179" s="488" t="inlineStr">
        <is>
          <t>bf, impl</t>
        </is>
      </c>
      <c r="O179" s="488" t="n">
        <v>5</v>
      </c>
      <c r="P179" s="488" t="n">
        <v>4</v>
      </c>
      <c r="Q179" s="297" t="inlineStr">
        <is>
          <t>p2</t>
        </is>
      </c>
    </row>
    <row r="180" ht="15.75" customHeight="1" s="279">
      <c r="A180" s="420" t="inlineStr">
        <is>
          <t>Almost Arithmetical Progression</t>
        </is>
      </c>
      <c r="B180" s="475">
        <f>HYPERLINK("http://codeforces.com/contest/255/problem/C","CF255-D2-C")</f>
        <v/>
      </c>
      <c r="C180" s="418" t="n"/>
      <c r="D180" s="418" t="n"/>
      <c r="E180" s="418" t="n"/>
      <c r="F180" s="418" t="n"/>
      <c r="G180" s="418" t="n"/>
      <c r="H180" s="418" t="n"/>
      <c r="I180" s="404">
        <f>SUM(E180:H180)</f>
        <v/>
      </c>
      <c r="J180" s="418" t="n"/>
      <c r="K180" s="418" t="n"/>
      <c r="L180" s="512" t="n"/>
      <c r="M180" s="420" t="n"/>
      <c r="N180" s="488" t="inlineStr">
        <is>
          <t>bf</t>
        </is>
      </c>
      <c r="O180" s="488" t="n">
        <v>5</v>
      </c>
      <c r="P180" s="488" t="n">
        <v>4</v>
      </c>
    </row>
    <row r="181" ht="15.75" customHeight="1" s="279">
      <c r="A181" s="420" t="inlineStr">
        <is>
          <t>Fancy Number</t>
        </is>
      </c>
      <c r="B181" s="475">
        <f>HYPERLINK("http://codeforces.com/contest/118/problem/C","CF118-D2-C")</f>
        <v/>
      </c>
      <c r="C181" s="418" t="n"/>
      <c r="D181" s="418" t="n"/>
      <c r="E181" s="418" t="n"/>
      <c r="F181" s="418" t="n"/>
      <c r="G181" s="418" t="n"/>
      <c r="H181" s="418" t="n"/>
      <c r="I181" s="404">
        <f>SUM(E181:H181)</f>
        <v/>
      </c>
      <c r="J181" s="404" t="n"/>
      <c r="K181" s="404" t="n"/>
      <c r="L181" s="418" t="n"/>
      <c r="M181" s="420" t="n"/>
      <c r="N181" s="488" t="inlineStr">
        <is>
          <t>bf or greedy</t>
        </is>
      </c>
      <c r="O181" s="488" t="n">
        <v>5</v>
      </c>
      <c r="P181" s="488" t="n">
        <v>4</v>
      </c>
    </row>
    <row r="182" ht="15.75" customHeight="1" s="279">
      <c r="A182" s="420" t="inlineStr">
        <is>
          <t>Recycling Bottles</t>
        </is>
      </c>
      <c r="B182" s="475">
        <f>HYPERLINK("http://codeforces.com/contest/672/problem/C","CF672-D2-C")</f>
        <v/>
      </c>
      <c r="C182" s="418" t="n"/>
      <c r="D182" s="418" t="n"/>
      <c r="E182" s="418" t="n"/>
      <c r="F182" s="418" t="n"/>
      <c r="G182" s="418" t="n"/>
      <c r="H182" s="418" t="n"/>
      <c r="I182" s="404">
        <f>SUM(E182:H182)</f>
        <v/>
      </c>
      <c r="J182" s="404" t="n"/>
      <c r="K182" s="404" t="n"/>
      <c r="L182" s="418" t="n"/>
      <c r="M182" s="420" t="n"/>
      <c r="N182" s="488" t="inlineStr">
        <is>
          <t>bf or greedy</t>
        </is>
      </c>
      <c r="O182" s="488" t="n">
        <v>5</v>
      </c>
      <c r="P182" s="488" t="n">
        <v>4</v>
      </c>
    </row>
    <row r="183" ht="15.75" customHeight="1" s="279">
      <c r="A183" s="420" t="inlineStr">
        <is>
          <t>Devu and Partitioning of the Array</t>
        </is>
      </c>
      <c r="B183" s="475">
        <f>HYPERLINK("http://codeforces.com/contest/439/problem/C","CF439-D2-C")</f>
        <v/>
      </c>
      <c r="C183" s="418" t="n"/>
      <c r="D183" s="418" t="n"/>
      <c r="E183" s="418" t="n"/>
      <c r="F183" s="418" t="n"/>
      <c r="G183" s="418" t="n"/>
      <c r="H183" s="418" t="n"/>
      <c r="I183" s="404">
        <f>SUM(E183:H183)</f>
        <v/>
      </c>
      <c r="J183" s="418" t="n"/>
      <c r="K183" s="418" t="n"/>
      <c r="L183" s="418" t="n"/>
      <c r="M183" s="421" t="n"/>
      <c r="N183" s="488" t="inlineStr">
        <is>
          <t>bf, constructive, impl</t>
        </is>
      </c>
      <c r="O183" s="488" t="n">
        <v>5</v>
      </c>
      <c r="P183" s="488" t="n">
        <v>4</v>
      </c>
    </row>
    <row r="184" ht="15.75" customHeight="1" s="279">
      <c r="A184" s="420" t="inlineStr">
        <is>
          <t>Football Championship</t>
        </is>
      </c>
      <c r="B184" s="475">
        <f>HYPERLINK("http://codeforces.com/contest/200/problem/C","CF200-D2-C")</f>
        <v/>
      </c>
      <c r="C184" s="418" t="n"/>
      <c r="D184" s="418" t="n"/>
      <c r="E184" s="418" t="n"/>
      <c r="F184" s="418" t="n"/>
      <c r="G184" s="418" t="n"/>
      <c r="H184" s="418" t="n"/>
      <c r="I184" s="404">
        <f>SUM(E184:H184)</f>
        <v/>
      </c>
      <c r="J184" s="404" t="n"/>
      <c r="K184" s="404" t="n"/>
      <c r="L184" s="418" t="n"/>
      <c r="M184" s="420" t="n"/>
      <c r="N184" s="488" t="inlineStr">
        <is>
          <t>bf, impl</t>
        </is>
      </c>
      <c r="O184" s="488" t="n">
        <v>5</v>
      </c>
      <c r="P184" s="488" t="n">
        <v>4</v>
      </c>
    </row>
    <row r="185" ht="15.75" customHeight="1" s="279">
      <c r="A185" s="420" t="inlineStr">
        <is>
          <t>Sereja and Algorithm</t>
        </is>
      </c>
      <c r="B185" s="475">
        <f>HYPERLINK("http://codeforces.com/contest/368/problem/C","CF368-D2-C")</f>
        <v/>
      </c>
      <c r="C185" s="418" t="n"/>
      <c r="D185" s="418" t="n"/>
      <c r="E185" s="418" t="n"/>
      <c r="F185" s="418" t="n"/>
      <c r="G185" s="418" t="n"/>
      <c r="H185" s="418" t="n"/>
      <c r="I185" s="404">
        <f>SUM(E185:H185)</f>
        <v/>
      </c>
      <c r="J185" s="404" t="n"/>
      <c r="K185" s="404" t="n"/>
      <c r="L185" s="418" t="n"/>
      <c r="M185" s="488" t="n"/>
      <c r="N185" s="488" t="inlineStr">
        <is>
          <t>bf, impl</t>
        </is>
      </c>
      <c r="O185" s="488" t="n">
        <v>5</v>
      </c>
      <c r="P185" s="488" t="n">
        <v>4</v>
      </c>
    </row>
    <row r="186" ht="15.75" customHeight="1" s="279">
      <c r="A186" s="420" t="inlineStr">
        <is>
          <t>Arthur and Table</t>
        </is>
      </c>
      <c r="B186" s="475">
        <f>HYPERLINK("http://codeforces.com/contest/557/problem/C","CF557-D2-C")</f>
        <v/>
      </c>
      <c r="C186" s="418" t="n"/>
      <c r="D186" s="418" t="n"/>
      <c r="E186" s="418" t="n"/>
      <c r="F186" s="418" t="n"/>
      <c r="G186" s="418" t="n"/>
      <c r="H186" s="418" t="n"/>
      <c r="I186" s="404">
        <f>SUM(E186:H186)</f>
        <v/>
      </c>
      <c r="J186" s="418" t="n"/>
      <c r="K186" s="418" t="n"/>
      <c r="L186" s="418" t="n"/>
      <c r="M186" s="421" t="n"/>
      <c r="N186" s="488" t="inlineStr">
        <is>
          <t>bf, datastructures</t>
        </is>
      </c>
      <c r="O186" s="488" t="n">
        <v>5</v>
      </c>
      <c r="P186" s="488" t="n">
        <v>4.5</v>
      </c>
      <c r="Q186" s="304" t="n"/>
    </row>
    <row r="187" ht="15.75" customHeight="1" s="279">
      <c r="A187" s="420" t="n"/>
      <c r="B187" s="475">
        <f>HYPERLINK("http://codeforces.com/contest/1036/problem/C","CF1036-D2-C")</f>
        <v/>
      </c>
      <c r="C187" s="418" t="n"/>
      <c r="D187" s="418" t="n"/>
      <c r="E187" s="418" t="n"/>
      <c r="F187" s="418" t="n"/>
      <c r="G187" s="418" t="n"/>
      <c r="H187" s="418" t="n"/>
      <c r="I187" s="404">
        <f>SUM(E187:H187)</f>
        <v/>
      </c>
      <c r="J187" s="404" t="n"/>
      <c r="K187" s="404" t="n"/>
      <c r="L187" s="418" t="n"/>
      <c r="M187" s="420" t="n"/>
      <c r="N187" s="488" t="inlineStr">
        <is>
          <t>bf, combinatorics</t>
        </is>
      </c>
      <c r="O187" s="488" t="n">
        <v>5</v>
      </c>
      <c r="P187" s="488" t="n">
        <v>4.5</v>
      </c>
      <c r="Q187" s="297" t="inlineStr">
        <is>
          <t>p2</t>
        </is>
      </c>
    </row>
    <row r="188" ht="15.75" customHeight="1" s="279">
      <c r="A188" s="420" t="inlineStr">
        <is>
          <t>Matrix</t>
        </is>
      </c>
      <c r="B188" s="475">
        <f>HYPERLINK("http://codeforces.com/contest/365/problem/C","CF365-D2-C")</f>
        <v/>
      </c>
      <c r="C188" s="418" t="n"/>
      <c r="D188" s="418" t="n"/>
      <c r="E188" s="418" t="n"/>
      <c r="F188" s="418" t="n"/>
      <c r="G188" s="418" t="n"/>
      <c r="H188" s="418" t="n"/>
      <c r="I188" s="404">
        <f>SUM(E188:H188)</f>
        <v/>
      </c>
      <c r="J188" s="404" t="n"/>
      <c r="K188" s="404" t="n"/>
      <c r="L188" s="418" t="n"/>
      <c r="M188" s="420" t="n"/>
      <c r="N188" s="488" t="inlineStr">
        <is>
          <t>bf, math</t>
        </is>
      </c>
      <c r="O188" s="488" t="n">
        <v>5</v>
      </c>
      <c r="P188" s="488" t="n">
        <v>4.5</v>
      </c>
      <c r="Q188" s="297" t="inlineStr">
        <is>
          <t>p1</t>
        </is>
      </c>
    </row>
    <row r="189" ht="15.75" customHeight="1" s="279">
      <c r="A189" s="420" t="inlineStr">
        <is>
          <t>Removing Columns</t>
        </is>
      </c>
      <c r="B189" s="475">
        <f>HYPERLINK("http://codeforces.com/contest/496/problem/C","CF496-D2-C")</f>
        <v/>
      </c>
      <c r="C189" s="418" t="n"/>
      <c r="D189" s="418" t="n"/>
      <c r="E189" s="418" t="n"/>
      <c r="F189" s="418" t="n"/>
      <c r="G189" s="418" t="n"/>
      <c r="H189" s="418" t="n"/>
      <c r="I189" s="404">
        <f>SUM(E189:H189)</f>
        <v/>
      </c>
      <c r="J189" s="404" t="n"/>
      <c r="K189" s="404" t="n"/>
      <c r="L189" s="418" t="n"/>
      <c r="M189" s="421">
        <f>HYPERLINK("https://www.youtube.com/watch?v=skSCRsMLPMI","Video Solution - Dr Mostafa Saad")</f>
        <v/>
      </c>
      <c r="N189" s="488" t="inlineStr">
        <is>
          <t>bf</t>
        </is>
      </c>
      <c r="O189" s="488" t="n">
        <v>5</v>
      </c>
      <c r="P189" s="488" t="n">
        <v>4.5</v>
      </c>
    </row>
    <row r="190" ht="15.75" customHeight="1" s="279">
      <c r="A190" s="420" t="n"/>
      <c r="B190" s="420" t="inlineStr">
        <is>
          <t>UVA 12261</t>
        </is>
      </c>
      <c r="C190" s="418" t="n"/>
      <c r="D190" s="418" t="n"/>
      <c r="E190" s="418" t="n"/>
      <c r="F190" s="418" t="n"/>
      <c r="G190" s="418" t="n"/>
      <c r="H190" s="418" t="n"/>
      <c r="I190" s="404">
        <f>SUM(E190:H190)</f>
        <v/>
      </c>
      <c r="J190" s="418" t="n"/>
      <c r="K190" s="418" t="n"/>
      <c r="L190" s="512" t="n"/>
      <c r="M190" s="488" t="n"/>
      <c r="N190" s="488" t="inlineStr">
        <is>
          <t>bf, [cases]</t>
        </is>
      </c>
      <c r="O190" s="488" t="n">
        <v>5</v>
      </c>
      <c r="P190" s="488" t="n">
        <v>5</v>
      </c>
      <c r="Q190" s="297" t="inlineStr">
        <is>
          <t>p3</t>
        </is>
      </c>
    </row>
    <row r="191" ht="15.75" customHeight="1" s="279">
      <c r="A191" s="420" t="n"/>
      <c r="B191" s="420" t="inlineStr">
        <is>
          <t>UVA 10705</t>
        </is>
      </c>
      <c r="C191" s="418" t="n"/>
      <c r="D191" s="418" t="n"/>
      <c r="E191" s="418" t="n"/>
      <c r="F191" s="418" t="n"/>
      <c r="G191" s="418" t="n"/>
      <c r="H191" s="418" t="n"/>
      <c r="I191" s="404">
        <f>SUM(E191:H191)</f>
        <v/>
      </c>
      <c r="J191" s="418" t="n"/>
      <c r="K191" s="418" t="n"/>
      <c r="L191" s="418" t="n"/>
      <c r="M191" s="493">
        <f>HYPERLINK("https://github.com/ilyesG/Competitive-Programming/blob/master/UVA/UVA%2010705.cpp","Sol")</f>
        <v/>
      </c>
      <c r="N191" s="488" t="inlineStr">
        <is>
          <t>bf, prune, binary base, bitmasks</t>
        </is>
      </c>
      <c r="O191" s="488" t="n">
        <v>5</v>
      </c>
      <c r="P191" s="488" t="n">
        <v>5</v>
      </c>
      <c r="Q191" s="297" t="inlineStr">
        <is>
          <t>p3</t>
        </is>
      </c>
    </row>
    <row r="192" ht="15.75" customHeight="1" s="279">
      <c r="A192" s="420" t="inlineStr">
        <is>
          <t>Lucky Number 2</t>
        </is>
      </c>
      <c r="B192" s="475">
        <f>HYPERLINK("http://codeforces.com/contest/146/problem/D","CF146-D2-D")</f>
        <v/>
      </c>
      <c r="C192" s="418" t="n"/>
      <c r="D192" s="418" t="n"/>
      <c r="E192" s="418" t="n"/>
      <c r="F192" s="418" t="n"/>
      <c r="G192" s="418" t="n"/>
      <c r="H192" s="418" t="n"/>
      <c r="I192" s="404">
        <f>SUM(E192:H192)</f>
        <v/>
      </c>
      <c r="J192" s="418" t="n"/>
      <c r="K192" s="418" t="n"/>
      <c r="L192" s="512" t="n"/>
      <c r="M192" s="420" t="n"/>
      <c r="N192" s="488" t="inlineStr">
        <is>
          <t>bf, impl or greedy</t>
        </is>
      </c>
      <c r="O192" s="488" t="n">
        <v>5</v>
      </c>
      <c r="P192" s="488" t="n">
        <v>5</v>
      </c>
      <c r="Q192" s="297" t="inlineStr">
        <is>
          <t>p2</t>
        </is>
      </c>
    </row>
    <row r="193" ht="15.75" customHeight="1" s="279">
      <c r="A193" s="420" t="inlineStr">
        <is>
          <t>Levko and Array Recovery</t>
        </is>
      </c>
      <c r="B193" s="475">
        <f>HYPERLINK("http://codeforces.com/contest/361/problem/C","CF361-D2-C")</f>
        <v/>
      </c>
      <c r="C193" s="418" t="n"/>
      <c r="D193" s="418" t="n"/>
      <c r="E193" s="418" t="n"/>
      <c r="F193" s="418" t="n"/>
      <c r="G193" s="418" t="n"/>
      <c r="H193" s="418" t="n"/>
      <c r="I193" s="404">
        <f>SUM(E193:H193)</f>
        <v/>
      </c>
      <c r="J193" s="418" t="n"/>
      <c r="K193" s="418" t="n"/>
      <c r="L193" s="418" t="n"/>
      <c r="M193" s="420" t="n"/>
      <c r="N193" s="488" t="inlineStr">
        <is>
          <t>bf or greedy</t>
        </is>
      </c>
      <c r="O193" s="488" t="n">
        <v>5</v>
      </c>
      <c r="P193" s="488" t="n">
        <v>5</v>
      </c>
      <c r="Q193" s="297" t="inlineStr">
        <is>
          <t>p2</t>
        </is>
      </c>
    </row>
    <row r="194" ht="15.75" customHeight="1" s="279">
      <c r="A194" s="420" t="n"/>
      <c r="B194" s="475">
        <f>HYPERLINK("http://codeforces.com/problemset/problem/1017/D","CF1017-D12-D")</f>
        <v/>
      </c>
      <c r="C194" s="418" t="n"/>
      <c r="D194" s="418" t="n"/>
      <c r="E194" s="418" t="n"/>
      <c r="F194" s="418" t="n"/>
      <c r="G194" s="418" t="n"/>
      <c r="H194" s="418" t="n"/>
      <c r="I194" s="404">
        <f>SUM(E194:H194)</f>
        <v/>
      </c>
      <c r="J194" s="404" t="n"/>
      <c r="K194" s="404" t="n"/>
      <c r="L194" s="512" t="n"/>
      <c r="M194" s="420" t="n"/>
      <c r="N194" s="488" t="inlineStr">
        <is>
          <t>bf, bitmasks or dp_adhoc</t>
        </is>
      </c>
      <c r="O194" s="488" t="n">
        <v>5</v>
      </c>
      <c r="P194" s="488" t="n">
        <v>5.5</v>
      </c>
      <c r="Q194" s="297" t="inlineStr">
        <is>
          <t>p3</t>
        </is>
      </c>
    </row>
    <row r="195" ht="15.75" customHeight="1" s="279">
      <c r="A195" s="420" t="n"/>
      <c r="B195" s="475">
        <f>HYPERLINK("http://codeforces.com/contest/621/problem/D","CF621-D2-D")</f>
        <v/>
      </c>
      <c r="C195" s="418" t="n"/>
      <c r="D195" s="418" t="n"/>
      <c r="E195" s="418" t="n"/>
      <c r="F195" s="418" t="n"/>
      <c r="G195" s="418" t="n"/>
      <c r="H195" s="418" t="n"/>
      <c r="I195" s="404">
        <f>SUM(E195:H195)</f>
        <v/>
      </c>
      <c r="J195" s="418" t="n"/>
      <c r="K195" s="418" t="n"/>
      <c r="L195" s="418" t="n"/>
      <c r="M195" s="493">
        <f>HYPERLINK("https://github.com/MedoN11/CompetitiveProgramming/blob/master/CodeForces/CF621-D2-D-Complex.cpp","Sol")</f>
        <v/>
      </c>
      <c r="N195" s="488" t="inlineStr">
        <is>
          <t>bf, math, logs, [one solution use complex numbers]</t>
        </is>
      </c>
      <c r="O195" s="488" t="n">
        <v>5</v>
      </c>
      <c r="P195" s="488" t="n">
        <v>5.5</v>
      </c>
      <c r="Q195" s="297" t="inlineStr">
        <is>
          <t>p2</t>
        </is>
      </c>
    </row>
    <row r="196" ht="15.75" customHeight="1" s="279">
      <c r="A196" s="420" t="n"/>
      <c r="B196" s="420" t="inlineStr">
        <is>
          <t>SRM513-D2-1000</t>
        </is>
      </c>
      <c r="C196" s="418" t="n"/>
      <c r="D196" s="418" t="n"/>
      <c r="E196" s="418" t="n"/>
      <c r="F196" s="418" t="n"/>
      <c r="G196" s="418" t="n"/>
      <c r="H196" s="418" t="n"/>
      <c r="I196" s="404">
        <f>SUM(E196:H196)</f>
        <v/>
      </c>
      <c r="J196" s="404" t="n"/>
      <c r="K196" s="404" t="n"/>
      <c r="L196" s="418" t="n"/>
      <c r="M196" s="420" t="n"/>
      <c r="N196" s="488" t="inlineStr">
        <is>
          <t>bf or dp</t>
        </is>
      </c>
      <c r="O196" s="488" t="n">
        <v>5</v>
      </c>
      <c r="P196" s="488" t="n">
        <v>5.5</v>
      </c>
      <c r="Q196" s="297" t="inlineStr">
        <is>
          <t>p2</t>
        </is>
      </c>
    </row>
    <row r="197" ht="15.75" customHeight="1" s="279">
      <c r="A197" s="420" t="n"/>
      <c r="B197" s="475">
        <f>HYPERLINK("http://codeforces.com/contest/633/problem/D","CF633-D12-D")</f>
        <v/>
      </c>
      <c r="C197" s="418" t="n"/>
      <c r="D197" s="418" t="n"/>
      <c r="E197" s="418" t="n"/>
      <c r="F197" s="418" t="n"/>
      <c r="G197" s="418" t="n"/>
      <c r="H197" s="418" t="n"/>
      <c r="I197" s="404">
        <f>SUM(E197:H197)</f>
        <v/>
      </c>
      <c r="J197" s="418" t="n"/>
      <c r="K197" s="418" t="n"/>
      <c r="L197" s="418" t="n"/>
      <c r="M197" s="488" t="n"/>
      <c r="N197" s="488" t="inlineStr">
        <is>
          <t>bf, hashing, impl, [idea that functions like fibonacci grow very fast.]</t>
        </is>
      </c>
      <c r="O197" s="488" t="n">
        <v>5</v>
      </c>
      <c r="P197" s="488" t="n">
        <v>5.5</v>
      </c>
      <c r="Q197" s="297" t="inlineStr">
        <is>
          <t>p2</t>
        </is>
      </c>
    </row>
    <row r="198" ht="15.75" customHeight="1" s="279">
      <c r="A198" s="420" t="n"/>
      <c r="B198" s="420" t="inlineStr">
        <is>
          <t>SRM525-D1-500</t>
        </is>
      </c>
      <c r="C198" s="418" t="n"/>
      <c r="D198" s="418" t="n"/>
      <c r="E198" s="418" t="n"/>
      <c r="F198" s="418" t="n"/>
      <c r="G198" s="418" t="n"/>
      <c r="H198" s="418" t="n"/>
      <c r="I198" s="404">
        <f>SUM(E198:H198)</f>
        <v/>
      </c>
      <c r="J198" s="404" t="n"/>
      <c r="K198" s="404" t="n"/>
      <c r="L198" s="512" t="n"/>
      <c r="M198" s="488" t="n"/>
      <c r="N198" s="488" t="inlineStr">
        <is>
          <t>bf, graph, bitmasks</t>
        </is>
      </c>
      <c r="O198" s="488" t="n">
        <v>5</v>
      </c>
      <c r="P198" s="488" t="n">
        <v>5.5</v>
      </c>
      <c r="Q198" s="297" t="inlineStr">
        <is>
          <t>p3</t>
        </is>
      </c>
    </row>
    <row r="199" ht="15.75" customHeight="1" s="279">
      <c r="A199" s="420" t="inlineStr">
        <is>
          <t>Pipeline</t>
        </is>
      </c>
      <c r="B199" s="475">
        <f>HYPERLINK("http://codeforces.com/contest/287/problem/B","CF287-D2-B")</f>
        <v/>
      </c>
      <c r="C199" s="418" t="n"/>
      <c r="D199" s="418" t="n"/>
      <c r="E199" s="418" t="n"/>
      <c r="F199" s="418" t="n"/>
      <c r="G199" s="418" t="n"/>
      <c r="H199" s="418" t="n"/>
      <c r="I199" s="404">
        <f>SUM(E199:H199)</f>
        <v/>
      </c>
      <c r="J199" s="451" t="n"/>
      <c r="K199" s="404" t="n"/>
      <c r="L199" s="451" t="n"/>
      <c r="M199" s="408">
        <f>HYPERLINK("https://www.youtube.com/watch?v=mhrz7F01Vqs","Video Solution - Dr Mostafa Saad")</f>
        <v/>
      </c>
      <c r="N199" s="488" t="inlineStr">
        <is>
          <t>binary search</t>
        </is>
      </c>
      <c r="O199" s="488" t="n">
        <v>6</v>
      </c>
      <c r="P199" s="488" t="n">
        <v>2.5</v>
      </c>
    </row>
    <row r="200" ht="15.75" customHeight="1" s="279">
      <c r="A200" s="420" t="inlineStr">
        <is>
          <t>Vanya and Lanterns</t>
        </is>
      </c>
      <c r="B200" s="475">
        <f>HYPERLINK("http://codeforces.com/contest/492/problem/B","CF492-D2-B")</f>
        <v/>
      </c>
      <c r="C200" s="418" t="n"/>
      <c r="D200" s="418" t="n"/>
      <c r="E200" s="418" t="n"/>
      <c r="F200" s="418" t="n"/>
      <c r="G200" s="418" t="n"/>
      <c r="H200" s="418" t="n"/>
      <c r="I200" s="404">
        <f>SUM(E200:H200)</f>
        <v/>
      </c>
      <c r="J200" s="404" t="n"/>
      <c r="K200" s="404" t="n"/>
      <c r="L200" s="418" t="n"/>
      <c r="M200" s="421">
        <f>HYPERLINK("https://www.youtube.com/watch?v=i4fMKTt8e84","Video Solution - Solver to be (Java)")</f>
        <v/>
      </c>
      <c r="N200" s="511" t="inlineStr">
        <is>
          <t>binary search, doubles</t>
        </is>
      </c>
      <c r="O200" s="488" t="n">
        <v>6</v>
      </c>
      <c r="P200" s="488" t="n">
        <v>2.5</v>
      </c>
      <c r="Q200" s="297" t="inlineStr">
        <is>
          <t>p2</t>
        </is>
      </c>
    </row>
    <row r="201" ht="15.75" customHeight="1" s="279">
      <c r="A201" s="420" t="inlineStr">
        <is>
          <t>Aggressive cows</t>
        </is>
      </c>
      <c r="B201" s="475">
        <f>HYPERLINK("http://www.spoj.com/problems/AGGRCOW/","SPOJ AGGRCOW")</f>
        <v/>
      </c>
      <c r="C201" s="418" t="n"/>
      <c r="D201" s="418" t="n"/>
      <c r="E201" s="418" t="n"/>
      <c r="F201" s="418" t="n"/>
      <c r="G201" s="418" t="n"/>
      <c r="H201" s="418" t="n"/>
      <c r="I201" s="404">
        <f>SUM(E201:H201)</f>
        <v/>
      </c>
      <c r="J201" s="418" t="n"/>
      <c r="K201" s="404" t="n"/>
      <c r="L201" s="418" t="n"/>
      <c r="M201" s="422">
        <f>HYPERLINK("https://www.youtube.com/watch?v=2R9L6mVal9U","Video Solution - Eng Youssef El Ghareeb")</f>
        <v/>
      </c>
      <c r="N201" s="488" t="inlineStr">
        <is>
          <t>binary search</t>
        </is>
      </c>
      <c r="O201" s="488" t="n">
        <v>6</v>
      </c>
      <c r="P201" s="488" t="n">
        <v>3</v>
      </c>
    </row>
    <row r="202" ht="15.75" customHeight="1" s="279">
      <c r="A202" s="420" t="inlineStr">
        <is>
          <t>Hanoi Tower Troubles !</t>
        </is>
      </c>
      <c r="B202" s="475">
        <f>HYPERLINK("https://uva.onlinejudge.org/index.php?option=onlinejudge&amp;page=show_problem&amp;problem=1217","UVA 10276")</f>
        <v/>
      </c>
      <c r="C202" s="418" t="n"/>
      <c r="D202" s="418" t="n"/>
      <c r="E202" s="418" t="n"/>
      <c r="F202" s="418" t="n"/>
      <c r="G202" s="418" t="n"/>
      <c r="H202" s="418" t="n"/>
      <c r="I202" s="404">
        <f>SUM(E202:H202)</f>
        <v/>
      </c>
      <c r="J202" s="404" t="n"/>
      <c r="K202" s="404" t="n"/>
      <c r="L202" s="418" t="n"/>
      <c r="M202" s="475">
        <f>HYPERLINK("https://www.youtube.com/watch?v=ygWfse3bBLI&amp;feature=youtu.be","Video Solution - Eng Mahmoud Adel")</f>
        <v/>
      </c>
      <c r="N202" s="488" t="inlineStr">
        <is>
          <t>binary search or simulation</t>
        </is>
      </c>
      <c r="O202" s="488" t="n">
        <v>6</v>
      </c>
      <c r="P202" s="488" t="n">
        <v>3.5</v>
      </c>
    </row>
    <row r="203" ht="15.75" customHeight="1" s="279">
      <c r="A203" s="420" t="inlineStr">
        <is>
          <t>The Stern-Brocot Number</t>
        </is>
      </c>
      <c r="B203" s="475">
        <f>HYPERLINK("https://uva.onlinejudge.org/index.php?option=com_onlinejudge&amp;Itemid=8&amp;page=show_problem&amp;problem=1018","UVA 10077")</f>
        <v/>
      </c>
      <c r="C203" s="418" t="n"/>
      <c r="D203" s="418" t="n"/>
      <c r="E203" s="418" t="n"/>
      <c r="F203" s="418" t="n"/>
      <c r="G203" s="418" t="n"/>
      <c r="H203" s="418" t="n"/>
      <c r="I203" s="404">
        <f>SUM(E203:H203)</f>
        <v/>
      </c>
      <c r="J203" s="404" t="n"/>
      <c r="K203" s="404" t="n"/>
      <c r="L203" s="418" t="n"/>
      <c r="M203" s="420" t="n"/>
      <c r="N203" s="488" t="inlineStr">
        <is>
          <t>binary search, gcd</t>
        </is>
      </c>
      <c r="O203" s="488" t="n">
        <v>6</v>
      </c>
      <c r="P203" s="488" t="n">
        <v>3.5</v>
      </c>
    </row>
    <row r="204" ht="15.75" customHeight="1" s="279">
      <c r="A204" s="420" t="inlineStr">
        <is>
          <t>Magical Boxes</t>
        </is>
      </c>
      <c r="B204" s="475">
        <f>HYPERLINK("http://codeforces.com/contest/270/problem/C","CF270-D2-C")</f>
        <v/>
      </c>
      <c r="C204" s="418" t="n"/>
      <c r="D204" s="418" t="n"/>
      <c r="E204" s="418" t="n"/>
      <c r="F204" s="418" t="n"/>
      <c r="G204" s="418" t="n"/>
      <c r="H204" s="418" t="n"/>
      <c r="I204" s="404">
        <f>SUM(E204:H204)</f>
        <v/>
      </c>
      <c r="J204" s="404" t="n"/>
      <c r="K204" s="404" t="n"/>
      <c r="L204" s="418" t="n"/>
      <c r="M204" s="420" t="n"/>
      <c r="N204" s="488" t="inlineStr">
        <is>
          <t>binary search, greedy, math, impl</t>
        </is>
      </c>
      <c r="O204" s="488" t="n">
        <v>6</v>
      </c>
      <c r="P204" s="488" t="n">
        <v>4</v>
      </c>
      <c r="Q204" s="297" t="inlineStr">
        <is>
          <t>p3</t>
        </is>
      </c>
    </row>
    <row r="205" ht="15.75" customHeight="1" s="279">
      <c r="A205" s="420" t="inlineStr">
        <is>
          <t>Image Preview</t>
        </is>
      </c>
      <c r="B205" s="475">
        <f>HYPERLINK("http://codeforces.com/contest/651/problem/D","CF651-D2-D")</f>
        <v/>
      </c>
      <c r="C205" s="418" t="n"/>
      <c r="D205" s="418" t="n"/>
      <c r="E205" s="418" t="n"/>
      <c r="F205" s="418" t="n"/>
      <c r="G205" s="418" t="n"/>
      <c r="H205" s="418" t="n"/>
      <c r="I205" s="404">
        <f>SUM(E205:H205)</f>
        <v/>
      </c>
      <c r="J205" s="418" t="n"/>
      <c r="K205" s="418" t="n"/>
      <c r="L205" s="512" t="n"/>
      <c r="M205" s="420" t="n"/>
      <c r="N205" s="488" t="inlineStr">
        <is>
          <t>binary search, bf, left-right trick</t>
        </is>
      </c>
      <c r="O205" s="488" t="n">
        <v>6</v>
      </c>
      <c r="P205" s="488" t="n">
        <v>4</v>
      </c>
      <c r="Q205" s="297" t="inlineStr">
        <is>
          <t>p2</t>
        </is>
      </c>
    </row>
    <row r="206" ht="15.75" customHeight="1" s="279">
      <c r="A206" s="420" t="inlineStr">
        <is>
          <t>Sagheer and Nubian Market</t>
        </is>
      </c>
      <c r="B206" s="475">
        <f>HYPERLINK("http://codeforces.com/contest/812/problem/C","CF812-D2-C")</f>
        <v/>
      </c>
      <c r="C206" s="418" t="n"/>
      <c r="D206" s="418" t="n"/>
      <c r="E206" s="418" t="n"/>
      <c r="F206" s="418" t="n"/>
      <c r="G206" s="418" t="n"/>
      <c r="H206" s="418" t="n"/>
      <c r="I206" s="404">
        <f>SUM(E206:H206)</f>
        <v/>
      </c>
      <c r="J206" s="404" t="n"/>
      <c r="K206" s="404" t="n"/>
      <c r="L206" s="418" t="n"/>
      <c r="M206" s="475">
        <f>HYPERLINK("https://www.youtube.com/watch?v=SDEpB87Uxpg","Video Solution - Solver to be (Java)")</f>
        <v/>
      </c>
      <c r="N206" s="488" t="inlineStr">
        <is>
          <t>binary search</t>
        </is>
      </c>
      <c r="O206" s="488" t="n">
        <v>6</v>
      </c>
      <c r="P206" s="488" t="n">
        <v>4</v>
      </c>
    </row>
    <row r="207" ht="15.75" customHeight="1" s="279">
      <c r="A207" s="420" t="inlineStr">
        <is>
          <t>The Playboy Chimp</t>
        </is>
      </c>
      <c r="B207" s="475">
        <f>HYPERLINK("https://uva.onlinejudge.org/index.php?option=com_onlinejudge&amp;Itemid=8&amp;page=show_problem&amp;problem=1552","UVA 10611")</f>
        <v/>
      </c>
      <c r="C207" s="418" t="n"/>
      <c r="D207" s="418" t="n"/>
      <c r="E207" s="418" t="n"/>
      <c r="F207" s="418" t="n"/>
      <c r="G207" s="418" t="n"/>
      <c r="H207" s="418" t="n"/>
      <c r="I207" s="404">
        <f>SUM(E207:H207)</f>
        <v/>
      </c>
      <c r="J207" s="418" t="n"/>
      <c r="K207" s="404" t="n"/>
      <c r="L207" s="418" t="n"/>
      <c r="M207" s="421">
        <f>HYPERLINK("https://www.youtube.com/watch?v=OsfeunBJFzw","Video Solution - Eng Ayman Salah")</f>
        <v/>
      </c>
      <c r="N207" s="488" t="inlineStr">
        <is>
          <t>binary search</t>
        </is>
      </c>
      <c r="O207" s="488" t="n">
        <v>6</v>
      </c>
      <c r="P207" s="488" t="n">
        <v>4</v>
      </c>
    </row>
    <row r="208" ht="15.75" customHeight="1" s="279">
      <c r="A208" s="420" t="inlineStr">
        <is>
          <t>Modified GCD</t>
        </is>
      </c>
      <c r="B208" s="475">
        <f>HYPERLINK("http://codeforces.com/contest/75/problem/C","CF75-D2-C")</f>
        <v/>
      </c>
      <c r="C208" s="418" t="n"/>
      <c r="D208" s="418" t="n"/>
      <c r="E208" s="418" t="n"/>
      <c r="F208" s="418" t="n"/>
      <c r="G208" s="418" t="n"/>
      <c r="H208" s="418" t="n"/>
      <c r="I208" s="404">
        <f>SUM(E208:H208)</f>
        <v/>
      </c>
      <c r="J208" s="404" t="n"/>
      <c r="K208" s="404" t="n"/>
      <c r="L208" s="418" t="n"/>
      <c r="M208" s="475">
        <f>HYPERLINK("https://www.youtube.com/watch?v=EZg71v0Z5iE","Video Solution - Dr Mostafa Saad")</f>
        <v/>
      </c>
      <c r="N208" s="488" t="inlineStr">
        <is>
          <t>binary search, math</t>
        </is>
      </c>
      <c r="O208" s="488" t="n">
        <v>6</v>
      </c>
      <c r="P208" s="488" t="n">
        <v>4</v>
      </c>
      <c r="Q208" s="297" t="inlineStr">
        <is>
          <t>p2</t>
        </is>
      </c>
    </row>
    <row r="209" ht="15.75" customHeight="1" s="279">
      <c r="A209" s="420" t="inlineStr">
        <is>
          <t>Dictionary Subsequences</t>
        </is>
      </c>
      <c r="B209" s="475">
        <f>HYPERLINK("http://www.spoj.com/problems/DICTSUB/","SPOJ DICTSUB")</f>
        <v/>
      </c>
      <c r="C209" s="418" t="n"/>
      <c r="D209" s="418" t="n"/>
      <c r="E209" s="418" t="n"/>
      <c r="F209" s="418" t="n"/>
      <c r="G209" s="418" t="n"/>
      <c r="H209" s="418" t="n"/>
      <c r="I209" s="404">
        <f>SUM(E209:H209)</f>
        <v/>
      </c>
      <c r="J209" s="404" t="n"/>
      <c r="K209" s="404" t="n"/>
      <c r="L209" s="418" t="n"/>
      <c r="M209" s="493">
        <f>HYPERLINK("https://github.com/VAMPIER000001/CompetitiveProgramming/blob/master/Spoj/SPOJ%20DICTSUB.Cpp","Sol")</f>
        <v/>
      </c>
      <c r="N209" s="488" t="inlineStr">
        <is>
          <t>binary search, lower bound</t>
        </is>
      </c>
      <c r="O209" s="488" t="n">
        <v>6</v>
      </c>
      <c r="P209" s="488" t="n">
        <v>4.5</v>
      </c>
      <c r="Q209" s="297" t="inlineStr">
        <is>
          <t>p2</t>
        </is>
      </c>
    </row>
    <row r="210" ht="15.75" customHeight="1" s="279">
      <c r="A210" s="420" t="inlineStr">
        <is>
          <t>Mr. Bender and Square</t>
        </is>
      </c>
      <c r="B210" s="475">
        <f>HYPERLINK("http://codeforces.com/contest/255/problem/D","CF255-D2-D")</f>
        <v/>
      </c>
      <c r="C210" s="418" t="n"/>
      <c r="D210" s="418" t="n"/>
      <c r="E210" s="418" t="n"/>
      <c r="F210" s="418" t="n"/>
      <c r="G210" s="418" t="n"/>
      <c r="H210" s="418" t="n"/>
      <c r="I210" s="404">
        <f>SUM(E210:H210)</f>
        <v/>
      </c>
      <c r="J210" s="418" t="n"/>
      <c r="K210" s="418" t="n"/>
      <c r="L210" s="512" t="n"/>
      <c r="M210" s="420" t="n"/>
      <c r="N210" s="488" t="inlineStr">
        <is>
          <t>binary search</t>
        </is>
      </c>
      <c r="O210" s="488" t="n">
        <v>6</v>
      </c>
      <c r="P210" s="488" t="n">
        <v>4.5</v>
      </c>
      <c r="Q210" s="297" t="inlineStr">
        <is>
          <t>p1</t>
        </is>
      </c>
    </row>
    <row r="211" ht="15.75" customHeight="1" s="279">
      <c r="A211" s="420" t="n"/>
      <c r="B211" s="475">
        <f>HYPERLINK("https://codeforces.com/contest/1060/problem/C","CF1060-D12-C")</f>
        <v/>
      </c>
      <c r="C211" s="418" t="n"/>
      <c r="D211" s="418" t="n"/>
      <c r="E211" s="418" t="n"/>
      <c r="F211" s="418" t="n"/>
      <c r="G211" s="418" t="n"/>
      <c r="H211" s="418" t="n"/>
      <c r="I211" s="404">
        <f>SUM(E211:H211)</f>
        <v/>
      </c>
      <c r="J211" s="404" t="n"/>
      <c r="K211" s="404" t="n"/>
      <c r="L211" s="418" t="n"/>
      <c r="M211" s="420" t="n"/>
      <c r="N211" s="488" t="inlineStr">
        <is>
          <t>binary search, two pointers, armortized analysis</t>
        </is>
      </c>
      <c r="O211" s="488" t="n">
        <v>6</v>
      </c>
      <c r="P211" s="488" t="n">
        <v>5</v>
      </c>
      <c r="Q211" s="297" t="inlineStr">
        <is>
          <t>p3</t>
        </is>
      </c>
    </row>
    <row r="212" ht="15.75" customHeight="1" s="279">
      <c r="A212" s="420" t="inlineStr">
        <is>
          <t>Multiplication Table</t>
        </is>
      </c>
      <c r="B212" s="475">
        <f>HYPERLINK("http://codeforces.com/contest/448/problem/D","CF448-D2-D")</f>
        <v/>
      </c>
      <c r="C212" s="418" t="n"/>
      <c r="D212" s="418" t="n"/>
      <c r="E212" s="418" t="n"/>
      <c r="F212" s="418" t="n"/>
      <c r="G212" s="418" t="n"/>
      <c r="H212" s="418" t="n"/>
      <c r="I212" s="404">
        <f>SUM(E212:H212)</f>
        <v/>
      </c>
      <c r="J212" s="418" t="n"/>
      <c r="K212" s="418" t="n"/>
      <c r="L212" s="418" t="n"/>
      <c r="M212" s="421">
        <f>HYPERLINK("https://www.youtube.com/watch?v=up_Z5e9ZsCU","Video Solution - Solve to be (Java)")</f>
        <v/>
      </c>
      <c r="N212" s="488" t="inlineStr">
        <is>
          <t>binary search</t>
        </is>
      </c>
      <c r="O212" s="488" t="n">
        <v>6</v>
      </c>
      <c r="P212" s="488" t="n">
        <v>5</v>
      </c>
      <c r="Q212" s="297" t="inlineStr">
        <is>
          <t>p2</t>
        </is>
      </c>
    </row>
    <row r="213" ht="15.75" customHeight="1" s="279">
      <c r="A213" s="420" t="inlineStr">
        <is>
          <t>Garland</t>
        </is>
      </c>
      <c r="B213" s="475">
        <f>HYPERLINK("https://uva.onlinejudge.org/index.php?option=onlinejudge&amp;page=show_problem&amp;problem=4330","UVA 1555")</f>
        <v/>
      </c>
      <c r="C213" s="418" t="n"/>
      <c r="D213" s="418" t="n"/>
      <c r="E213" s="418" t="n"/>
      <c r="F213" s="418" t="n"/>
      <c r="G213" s="418" t="n"/>
      <c r="H213" s="418" t="n"/>
      <c r="I213" s="404">
        <f>SUM(E213:H213)</f>
        <v/>
      </c>
      <c r="J213" s="418" t="n"/>
      <c r="K213" s="418" t="n"/>
      <c r="L213" s="418" t="n"/>
      <c r="M213" s="493">
        <f>HYPERLINK("https://github.com/mostafa-saad/MyCompetitiveProgramming/blob/master/UVA/UVA_1555.txt","Sol")</f>
        <v/>
      </c>
      <c r="N213" s="488" t="inlineStr">
        <is>
          <t>binary search, math or formula</t>
        </is>
      </c>
      <c r="O213" s="488" t="n">
        <v>6</v>
      </c>
      <c r="P213" s="488" t="n">
        <v>5</v>
      </c>
      <c r="Q213" s="297" t="inlineStr">
        <is>
          <t>p3</t>
        </is>
      </c>
    </row>
    <row r="214" ht="15.75" customHeight="1" s="279">
      <c r="A214" s="420" t="n"/>
      <c r="B214" s="420" t="inlineStr">
        <is>
          <t>SPOJ ABA12E</t>
        </is>
      </c>
      <c r="C214" s="418" t="n"/>
      <c r="D214" s="418" t="n"/>
      <c r="E214" s="418" t="n"/>
      <c r="F214" s="418" t="n"/>
      <c r="G214" s="418" t="n"/>
      <c r="H214" s="418" t="n"/>
      <c r="I214" s="404">
        <f>SUM(E214:H214)</f>
        <v/>
      </c>
      <c r="J214" s="418" t="n"/>
      <c r="K214" s="418" t="n"/>
      <c r="L214" s="418" t="n"/>
      <c r="M214" s="493">
        <f>HYPERLINK("https://github.com/mostafa-saad/MyCompetitiveProgramming/blob/master/SPOJ/SPOJ_ABA12E.txt","Sol")</f>
        <v/>
      </c>
      <c r="N214" s="488" t="inlineStr">
        <is>
          <t>binary search, [counting subarrays with sum k]</t>
        </is>
      </c>
      <c r="O214" s="488" t="n">
        <v>6</v>
      </c>
      <c r="P214" s="488" t="n">
        <v>5.5</v>
      </c>
      <c r="Q214" s="297" t="inlineStr">
        <is>
          <t>p3</t>
        </is>
      </c>
    </row>
    <row r="215" ht="30.75" customHeight="1" s="279">
      <c r="A215" s="420" t="inlineStr">
        <is>
          <t>Showstopper</t>
        </is>
      </c>
      <c r="B215" s="475">
        <f>HYPERLINK("http://www.spoj.com/problems/MSE07E/","SPOJ MSE07E")</f>
        <v/>
      </c>
      <c r="C215" s="418" t="n"/>
      <c r="D215" s="418" t="n"/>
      <c r="E215" s="418" t="n"/>
      <c r="F215" s="418" t="n"/>
      <c r="G215" s="418" t="n"/>
      <c r="H215" s="418" t="n"/>
      <c r="I215" s="404">
        <f>SUM(E215:H215)</f>
        <v/>
      </c>
      <c r="J215" s="418" t="n"/>
      <c r="K215" s="418" t="n"/>
      <c r="L215" s="512" t="n"/>
      <c r="M215" s="493">
        <f>HYPERLINK("https://github.com/mostafa-saad/MyCompetitiveProgramming/blob/master/SPOJ/SPOJ_MSE07E.txt","Read SPOJ users' comments about IO. See here sol")</f>
        <v/>
      </c>
      <c r="N215" s="488" t="inlineStr">
        <is>
          <t>binary search, d&amp;c, [issues in io, seems diffcult, but easy sol]</t>
        </is>
      </c>
      <c r="O215" s="488" t="n">
        <v>6</v>
      </c>
      <c r="P215" s="488" t="n">
        <v>6</v>
      </c>
      <c r="Q215" s="297" t="inlineStr">
        <is>
          <t>p3</t>
        </is>
      </c>
    </row>
    <row r="216" ht="15.75" customHeight="1" s="279">
      <c r="A216" s="420" t="n"/>
      <c r="B216" s="420" t="inlineStr">
        <is>
          <t>SRM319-D1-500</t>
        </is>
      </c>
      <c r="C216" s="418" t="n"/>
      <c r="D216" s="418" t="n"/>
      <c r="E216" s="418" t="n"/>
      <c r="F216" s="418" t="n"/>
      <c r="G216" s="418" t="n"/>
      <c r="H216" s="418" t="n"/>
      <c r="I216" s="404">
        <f>SUM(E216:H216)</f>
        <v/>
      </c>
      <c r="J216" s="418" t="n"/>
      <c r="K216" s="418" t="n"/>
      <c r="L216" s="418" t="n"/>
      <c r="M216" s="420" t="n"/>
      <c r="N216" s="488" t="inlineStr">
        <is>
          <t>bst, greedy, combinatorics</t>
        </is>
      </c>
      <c r="O216" s="488" t="n">
        <v>8</v>
      </c>
      <c r="P216" s="488" t="n">
        <v>5.5</v>
      </c>
      <c r="Q216" s="297" t="inlineStr">
        <is>
          <t>p2</t>
        </is>
      </c>
    </row>
    <row r="217" ht="15.75" customHeight="1" s="279">
      <c r="A217" s="420" t="n"/>
      <c r="B217" s="420" t="inlineStr">
        <is>
          <t>SPOJ POSTERIN</t>
        </is>
      </c>
      <c r="C217" s="418" t="n"/>
      <c r="D217" s="418" t="n"/>
      <c r="E217" s="418" t="n"/>
      <c r="F217" s="418" t="n"/>
      <c r="G217" s="418" t="n"/>
      <c r="H217" s="418" t="n"/>
      <c r="I217" s="404">
        <f>SUM(E217:H217)</f>
        <v/>
      </c>
      <c r="J217" s="418" t="n"/>
      <c r="K217" s="418" t="n"/>
      <c r="L217" s="418" t="n"/>
      <c r="M217" s="417">
        <f>HYPERLINK("https://github.com/Ownography/CP/blob/master/SPOJ%20POSTERIN", "Sol")</f>
        <v/>
      </c>
      <c r="N217" s="295" t="inlineStr">
        <is>
          <t>datastructures, stack</t>
        </is>
      </c>
      <c r="O217" s="488" t="n">
        <v>9</v>
      </c>
      <c r="P217" s="488" t="n">
        <v>3</v>
      </c>
      <c r="Q217" s="297" t="inlineStr">
        <is>
          <t>p4</t>
        </is>
      </c>
    </row>
    <row r="218" ht="15.75" customHeight="1" s="279">
      <c r="A218" s="420" t="inlineStr">
        <is>
          <t>Knight Tournament</t>
        </is>
      </c>
      <c r="B218" s="475">
        <f>HYPERLINK("http://codeforces.com/contest/357/problem/C","CF357-D2-C")</f>
        <v/>
      </c>
      <c r="C218" s="418" t="n"/>
      <c r="D218" s="418" t="n"/>
      <c r="E218" s="418" t="n"/>
      <c r="F218" s="418" t="n"/>
      <c r="G218" s="418" t="n"/>
      <c r="H218" s="418" t="n"/>
      <c r="I218" s="404">
        <f>SUM(E218:H218)</f>
        <v/>
      </c>
      <c r="J218" s="404" t="n"/>
      <c r="K218" s="404" t="n"/>
      <c r="L218" s="418" t="n"/>
      <c r="M218" s="420" t="n"/>
      <c r="N218" s="488" t="inlineStr">
        <is>
          <t>datastructures, set</t>
        </is>
      </c>
      <c r="O218" s="488" t="n">
        <v>9</v>
      </c>
      <c r="P218" s="488" t="n">
        <v>3</v>
      </c>
    </row>
    <row r="219" ht="15.75" customHeight="1" s="279">
      <c r="A219" s="420" t="n"/>
      <c r="B219" s="475">
        <f>HYPERLINK("https://icpcarchive.ecs.baylor.edu/index.php?option=com_onlinejudge&amp;Itemid=8&amp;page=show_problem&amp;problem=6100","LiveArchive 8078")</f>
        <v/>
      </c>
      <c r="C219" s="418" t="n"/>
      <c r="D219" s="418" t="n"/>
      <c r="E219" s="418" t="n"/>
      <c r="F219" s="418" t="n"/>
      <c r="G219" s="418" t="n"/>
      <c r="H219" s="418" t="n"/>
      <c r="I219" s="404">
        <f>SUM(E219:H219)</f>
        <v/>
      </c>
      <c r="J219" s="418" t="n"/>
      <c r="K219" s="418" t="n"/>
      <c r="L219" s="418" t="n"/>
      <c r="M219" s="417">
        <f>HYPERLINK("https://github.com/goswami-rahul/competitive-coding/blob/master/CompetitiveProgramming/livearchive/8078.cpp","Sol")</f>
        <v/>
      </c>
      <c r="N219" s="295" t="inlineStr">
        <is>
          <t>datastructures, stack or dp, [count the longest balanced brackets sequence]</t>
        </is>
      </c>
      <c r="O219" s="488" t="n">
        <v>9</v>
      </c>
      <c r="P219" s="488" t="n">
        <v>4</v>
      </c>
      <c r="Q219" s="297" t="inlineStr">
        <is>
          <t>p4</t>
        </is>
      </c>
    </row>
    <row r="220" ht="15.75" customHeight="1" s="279">
      <c r="A220" s="420" t="inlineStr">
        <is>
          <t>Queue</t>
        </is>
      </c>
      <c r="B220" s="475">
        <f>HYPERLINK("http://codeforces.com/contest/92/problem/D","CF92-D2-D")</f>
        <v/>
      </c>
      <c r="C220" s="418" t="n"/>
      <c r="D220" s="418" t="n"/>
      <c r="E220" s="418" t="n"/>
      <c r="F220" s="418" t="n"/>
      <c r="G220" s="418" t="n"/>
      <c r="H220" s="418" t="n"/>
      <c r="I220" s="404">
        <f>SUM(E220:H220)</f>
        <v/>
      </c>
      <c r="J220" s="418" t="n"/>
      <c r="K220" s="418" t="n"/>
      <c r="L220" s="418" t="n"/>
      <c r="M220" s="420" t="n"/>
      <c r="N220" s="488" t="inlineStr">
        <is>
          <t>datastructures, grid compress</t>
        </is>
      </c>
      <c r="O220" s="488" t="n">
        <v>9</v>
      </c>
      <c r="P220" s="488" t="n">
        <v>4</v>
      </c>
      <c r="Q220" s="297" t="inlineStr">
        <is>
          <t>p2</t>
        </is>
      </c>
    </row>
    <row r="221" ht="15.75" customHeight="1" s="279">
      <c r="A221" s="420" t="inlineStr">
        <is>
          <t>Thor</t>
        </is>
      </c>
      <c r="B221" s="475">
        <f>HYPERLINK("http://codeforces.com/contest/705/problem/C","CF705-D2-C")</f>
        <v/>
      </c>
      <c r="C221" s="418" t="n"/>
      <c r="D221" s="418" t="n"/>
      <c r="E221" s="418" t="n"/>
      <c r="F221" s="418" t="n"/>
      <c r="G221" s="418" t="n"/>
      <c r="H221" s="418" t="n"/>
      <c r="I221" s="404">
        <f>SUM(E221:H221)</f>
        <v/>
      </c>
      <c r="J221" s="404" t="n"/>
      <c r="K221" s="404" t="n"/>
      <c r="L221" s="418" t="n"/>
      <c r="M221" s="488" t="n"/>
      <c r="N221" s="488" t="inlineStr">
        <is>
          <t>datastructures, impl</t>
        </is>
      </c>
      <c r="O221" s="488" t="n">
        <v>9</v>
      </c>
      <c r="P221" s="488" t="n">
        <v>4</v>
      </c>
      <c r="Q221" s="297" t="inlineStr">
        <is>
          <t>p2</t>
        </is>
      </c>
    </row>
    <row r="222" ht="15.75" customHeight="1" s="279">
      <c r="A222" s="420" t="inlineStr">
        <is>
          <t>Database</t>
        </is>
      </c>
      <c r="B222" s="475">
        <f>HYPERLINK("https://uva.onlinejudge.org/index.php?option=com_onlinejudge&amp;Itemid=8&amp;page=show_problem&amp;problem=4467","UVA 1592")</f>
        <v/>
      </c>
      <c r="C222" s="418" t="n"/>
      <c r="D222" s="418" t="n"/>
      <c r="E222" s="418" t="n"/>
      <c r="F222" s="418" t="n"/>
      <c r="G222" s="418" t="n"/>
      <c r="H222" s="418" t="n"/>
      <c r="I222" s="404">
        <f>SUM(E222:H222)</f>
        <v/>
      </c>
      <c r="J222" s="418" t="n"/>
      <c r="K222" s="418" t="n"/>
      <c r="L222" s="418" t="n"/>
      <c r="M222" s="488" t="n"/>
      <c r="N222" s="488" t="inlineStr">
        <is>
          <t>datastructures, multimap, hashing, bf</t>
        </is>
      </c>
      <c r="O222" s="488" t="n">
        <v>9</v>
      </c>
      <c r="P222" s="488" t="n">
        <v>4</v>
      </c>
      <c r="Q222" s="297" t="inlineStr">
        <is>
          <t>p2</t>
        </is>
      </c>
    </row>
    <row r="223" ht="15.75" customHeight="1" s="279">
      <c r="A223" s="420" t="inlineStr">
        <is>
          <t>Little Girl and Maximum Sum</t>
        </is>
      </c>
      <c r="B223" s="475">
        <f>HYPERLINK("http://codeforces.com/contest/276/problem/C","CF276-D2-C")</f>
        <v/>
      </c>
      <c r="C223" s="418" t="n"/>
      <c r="D223" s="418" t="n"/>
      <c r="E223" s="418" t="n"/>
      <c r="F223" s="418" t="n"/>
      <c r="G223" s="418" t="n"/>
      <c r="H223" s="418" t="n"/>
      <c r="I223" s="404">
        <f>SUM(E223:H223)</f>
        <v/>
      </c>
      <c r="J223" s="404" t="n"/>
      <c r="K223" s="404" t="n"/>
      <c r="L223" s="418" t="n"/>
      <c r="M223" s="488" t="n"/>
      <c r="N223" s="488" t="inlineStr">
        <is>
          <t>datastructures, impl, sortings</t>
        </is>
      </c>
      <c r="O223" s="488" t="n">
        <v>9</v>
      </c>
      <c r="P223" s="488" t="n">
        <v>4</v>
      </c>
    </row>
    <row r="224" ht="15.75" customHeight="1" s="279">
      <c r="A224" s="420" t="inlineStr">
        <is>
          <t>Anya and Smartphone</t>
        </is>
      </c>
      <c r="B224" s="475">
        <f>HYPERLINK("http://codeforces.com/contest/518/problem/C","CF518-D2-C")</f>
        <v/>
      </c>
      <c r="C224" s="418" t="n"/>
      <c r="D224" s="418" t="n"/>
      <c r="E224" s="418" t="n"/>
      <c r="F224" s="418" t="n"/>
      <c r="G224" s="418" t="n"/>
      <c r="H224" s="418" t="n"/>
      <c r="I224" s="404">
        <f>SUM(E224:H224)</f>
        <v/>
      </c>
      <c r="J224" s="404" t="n"/>
      <c r="K224" s="404" t="n"/>
      <c r="L224" s="418" t="n"/>
      <c r="M224" s="488" t="n"/>
      <c r="N224" s="488" t="inlineStr">
        <is>
          <t>datastructures, impl</t>
        </is>
      </c>
      <c r="O224" s="488" t="n">
        <v>9</v>
      </c>
      <c r="P224" s="488" t="n">
        <v>4.5</v>
      </c>
    </row>
    <row r="225" ht="15.75" customHeight="1" s="279">
      <c r="A225" s="420" t="inlineStr">
        <is>
          <t>Lorenzo Von Matterhorn</t>
        </is>
      </c>
      <c r="B225" s="475">
        <f>HYPERLINK("http://codeforces.com/contest/697/problem/C","CF697-D2-C")</f>
        <v/>
      </c>
      <c r="C225" s="418" t="n"/>
      <c r="D225" s="418" t="n"/>
      <c r="E225" s="418" t="n"/>
      <c r="F225" s="418" t="n"/>
      <c r="G225" s="418" t="n"/>
      <c r="H225" s="418" t="n"/>
      <c r="I225" s="404">
        <f>SUM(E225:H225)</f>
        <v/>
      </c>
      <c r="J225" s="418" t="n"/>
      <c r="K225" s="418" t="n"/>
      <c r="L225" s="418" t="n"/>
      <c r="M225" s="420" t="n"/>
      <c r="N225" s="488" t="inlineStr">
        <is>
          <t>datastructures, impl, trees</t>
        </is>
      </c>
      <c r="O225" s="488" t="n">
        <v>9</v>
      </c>
      <c r="P225" s="488" t="n">
        <v>4.5</v>
      </c>
    </row>
    <row r="226" ht="15.75" customHeight="1" s="279">
      <c r="A226" s="420" t="inlineStr">
        <is>
          <t>Weird Function</t>
        </is>
      </c>
      <c r="B226" s="475">
        <f>HYPERLINK("http://www.spoj.com/problems/WEIRDFN/","SPOJ WEIRDFN")</f>
        <v/>
      </c>
      <c r="C226" s="418" t="n"/>
      <c r="D226" s="418" t="n"/>
      <c r="E226" s="418" t="n"/>
      <c r="F226" s="418" t="n"/>
      <c r="G226" s="418" t="n"/>
      <c r="H226" s="418" t="n"/>
      <c r="I226" s="404">
        <f>SUM(E226:H226)</f>
        <v/>
      </c>
      <c r="J226" s="404" t="n"/>
      <c r="K226" s="404" t="n"/>
      <c r="L226" s="512" t="n"/>
      <c r="M226" s="493">
        <f>HYPERLINK("https://github.com/mostafa-saad/MyCompetitiveProgramming/blob/master/SPOJ/SPOJ_WEIRDFN.txt","Sol")</f>
        <v/>
      </c>
      <c r="N226" s="488" t="inlineStr">
        <is>
          <t>datastructures, heap, min_max heaps, [restricted tl, pq faster than multiset]</t>
        </is>
      </c>
      <c r="O226" s="488" t="n">
        <v>9</v>
      </c>
      <c r="P226" s="488" t="n">
        <v>5</v>
      </c>
      <c r="Q226" s="297" t="inlineStr">
        <is>
          <t>p4</t>
        </is>
      </c>
    </row>
    <row r="227" ht="15.75" customHeight="1" s="279">
      <c r="A227" s="420" t="inlineStr">
        <is>
          <t>Black Box</t>
        </is>
      </c>
      <c r="B227" s="475">
        <f>HYPERLINK("https://uva.onlinejudge.org/index.php?option=onlinejudge&amp;page=show_problem&amp;problem=442","UVA 501")</f>
        <v/>
      </c>
      <c r="C227" s="418" t="n"/>
      <c r="D227" s="418" t="n"/>
      <c r="E227" s="418" t="n"/>
      <c r="F227" s="418" t="n"/>
      <c r="G227" s="418" t="n"/>
      <c r="H227" s="418" t="n"/>
      <c r="I227" s="404">
        <f>SUM(E227:H227)</f>
        <v/>
      </c>
      <c r="J227" s="418" t="n"/>
      <c r="K227" s="418" t="n"/>
      <c r="L227" s="512" t="n"/>
      <c r="M227" s="493">
        <f>HYPERLINK("https://github.com/mostafa-saad/MyCompetitiveProgramming/blob/master/UVA/UVA_501.txt","Sol - Must Read")</f>
        <v/>
      </c>
      <c r="N227" s="488" t="inlineStr">
        <is>
          <t>datastructures, heap, min_max or bbst or segment tree</t>
        </is>
      </c>
      <c r="O227" s="488" t="n">
        <v>9</v>
      </c>
      <c r="P227" s="488" t="n">
        <v>5</v>
      </c>
      <c r="Q227" s="297" t="inlineStr">
        <is>
          <t>p2</t>
        </is>
      </c>
    </row>
    <row r="228" ht="15.75" customHeight="1" s="279">
      <c r="A228" s="420" t="inlineStr">
        <is>
          <t>The SetStack Computer</t>
        </is>
      </c>
      <c r="B228" s="475">
        <f>HYPERLINK("https://icpcarchive.ecs.baylor.edu/index.php?option=com_onlinejudge&amp;Itemid=8&amp;category=19&amp;page=show_problem&amp;problem=1635","LiveArchive 3634")</f>
        <v/>
      </c>
      <c r="C228" s="418" t="n"/>
      <c r="D228" s="418" t="n"/>
      <c r="E228" s="418" t="n"/>
      <c r="F228" s="418" t="n"/>
      <c r="G228" s="418" t="n"/>
      <c r="H228" s="418" t="n"/>
      <c r="I228" s="404">
        <f>SUM(E228:H228)</f>
        <v/>
      </c>
      <c r="J228" s="418" t="n"/>
      <c r="K228" s="418" t="n"/>
      <c r="L228" s="418" t="n"/>
      <c r="M228" s="493">
        <f>HYPERLINK("https://github.com/SaraElkadi/competitive-programming-/blob/master/LiveArchive/3634.cpp","Sol")</f>
        <v/>
      </c>
      <c r="N228" s="488" t="inlineStr">
        <is>
          <t>datastructures, sets intersections and union</t>
        </is>
      </c>
      <c r="O228" s="488" t="n">
        <v>9</v>
      </c>
      <c r="P228" s="488" t="n">
        <v>5</v>
      </c>
      <c r="Q228" s="297" t="inlineStr">
        <is>
          <t>p2</t>
        </is>
      </c>
    </row>
    <row r="229" ht="15.75" customHeight="1" s="279">
      <c r="A229" s="420" t="n"/>
      <c r="B229" s="475">
        <f>HYPERLINK("http://codeforces.com/problemset/problem/899/E","CF899-D2-E")</f>
        <v/>
      </c>
      <c r="C229" s="418" t="n"/>
      <c r="D229" s="418" t="n"/>
      <c r="E229" s="418" t="n"/>
      <c r="F229" s="418" t="n"/>
      <c r="G229" s="418" t="n"/>
      <c r="H229" s="418" t="n"/>
      <c r="I229" s="404">
        <f>SUM(E229:H229)</f>
        <v/>
      </c>
      <c r="J229" s="418" t="n"/>
      <c r="K229" s="418" t="n"/>
      <c r="L229" s="418" t="n"/>
      <c r="M229" s="420" t="n"/>
      <c r="N229" s="488" t="inlineStr">
        <is>
          <t>datastructures, lists or sets merging</t>
        </is>
      </c>
      <c r="O229" s="488" t="n">
        <v>9</v>
      </c>
      <c r="P229" s="488" t="n">
        <v>5.5</v>
      </c>
      <c r="Q229" s="297" t="inlineStr">
        <is>
          <t>p3</t>
        </is>
      </c>
    </row>
    <row r="230" ht="15.75" customHeight="1" s="279">
      <c r="A230" s="420" t="inlineStr">
        <is>
          <t>Mike and Feet</t>
        </is>
      </c>
      <c r="B230" s="475">
        <f>HYPERLINK("http://codeforces.com/contest/548/problem/D","CF548-D2-D")</f>
        <v/>
      </c>
      <c r="C230" s="418" t="n"/>
      <c r="D230" s="418" t="n"/>
      <c r="E230" s="418" t="n"/>
      <c r="F230" s="418" t="n"/>
      <c r="G230" s="418" t="n"/>
      <c r="H230" s="418" t="n"/>
      <c r="I230" s="404">
        <f>SUM(E230:H230)</f>
        <v/>
      </c>
      <c r="J230" s="404" t="n"/>
      <c r="K230" s="404" t="n"/>
      <c r="L230" s="512" t="n"/>
      <c r="M230" s="488" t="n"/>
      <c r="N230" s="488" t="inlineStr">
        <is>
          <t>datastructures, stack or rmq or segment tree</t>
        </is>
      </c>
      <c r="O230" s="488" t="n">
        <v>9</v>
      </c>
      <c r="P230" s="488" t="n">
        <v>5.5</v>
      </c>
      <c r="Q230" s="297" t="inlineStr">
        <is>
          <t>p2</t>
        </is>
      </c>
    </row>
    <row r="231" ht="15.75" customHeight="1" s="279">
      <c r="A231" s="420" t="inlineStr">
        <is>
          <t>Boxes in a Line</t>
        </is>
      </c>
      <c r="B231" s="475">
        <f>HYPERLINK("https://uva.onlinejudge.org/index.php?option=com_onlinejudge&amp;Itemid=8&amp;page=show_problem&amp;problem=4395","UVA 12657")</f>
        <v/>
      </c>
      <c r="C231" s="418" t="n"/>
      <c r="D231" s="418" t="n"/>
      <c r="E231" s="418" t="n"/>
      <c r="F231" s="418" t="n"/>
      <c r="G231" s="418" t="n"/>
      <c r="H231" s="418" t="n"/>
      <c r="I231" s="404">
        <f>SUM(E231:H231)</f>
        <v/>
      </c>
      <c r="J231" s="418" t="n"/>
      <c r="K231" s="418" t="n"/>
      <c r="L231" s="512" t="n"/>
      <c r="M231" s="493">
        <f>HYPERLINK("http://qkxue.net/info/113260/UVA-Boxes-Line-12657","Sol")</f>
        <v/>
      </c>
      <c r="N231" s="488" t="inlineStr">
        <is>
          <t>datastructures, linked list, impl</t>
        </is>
      </c>
      <c r="O231" s="488" t="n">
        <v>9</v>
      </c>
      <c r="P231" s="488" t="n">
        <v>5.5</v>
      </c>
      <c r="Q231" s="297" t="inlineStr">
        <is>
          <t>p1</t>
        </is>
      </c>
    </row>
    <row r="232" ht="15.75" customHeight="1" s="279">
      <c r="A232" s="420" t="inlineStr">
        <is>
          <t>Expressions</t>
        </is>
      </c>
      <c r="B232" s="475">
        <f>HYPERLINK("https://uva.onlinejudge.org/index.php?option=com_onlinejudge&amp;Itemid=8&amp;page=show_problem&amp;problem=2175","UVA 11234")</f>
        <v/>
      </c>
      <c r="C232" s="418" t="n"/>
      <c r="D232" s="418" t="n"/>
      <c r="E232" s="418" t="n"/>
      <c r="F232" s="418" t="n"/>
      <c r="G232" s="418" t="n"/>
      <c r="H232" s="418" t="n"/>
      <c r="I232" s="404">
        <f>SUM(E232:H232)</f>
        <v/>
      </c>
      <c r="J232" s="418" t="n"/>
      <c r="K232" s="418" t="n"/>
      <c r="L232" s="512" t="n"/>
      <c r="M232" s="493">
        <f>HYPERLINK("https://github.com/AbdelrahmanRamadan/competitive-programming/blob/master/UVA/11234%20-%20Expressions.cpp","Sol")</f>
        <v/>
      </c>
      <c r="N232" s="488" t="inlineStr">
        <is>
          <t>datastructures, stack &amp; queue</t>
        </is>
      </c>
      <c r="O232" s="488" t="n">
        <v>9</v>
      </c>
      <c r="P232" s="488" t="n">
        <v>6</v>
      </c>
      <c r="Q232" s="297" t="inlineStr">
        <is>
          <t>p2</t>
        </is>
      </c>
    </row>
    <row r="233" ht="15.75" customHeight="1" s="279">
      <c r="A233" s="420" t="n"/>
      <c r="B233" s="420" t="inlineStr">
        <is>
          <t>UVA 11997</t>
        </is>
      </c>
      <c r="C233" s="418" t="n"/>
      <c r="D233" s="418" t="n"/>
      <c r="E233" s="418" t="n"/>
      <c r="F233" s="418" t="n"/>
      <c r="G233" s="418" t="n"/>
      <c r="H233" s="418" t="n"/>
      <c r="I233" s="404">
        <f>SUM(E233:H233)</f>
        <v/>
      </c>
      <c r="J233" s="404" t="n"/>
      <c r="K233" s="404" t="n"/>
      <c r="L233" s="418" t="n"/>
      <c r="M233" s="493">
        <f>HYPERLINK("https://github.com/thackerhelik/UVA/blob/master/11997.cpp","Sol")</f>
        <v/>
      </c>
      <c r="N233" s="488" t="inlineStr">
        <is>
          <t>datastructures, heap, [counting subarrays with sum k, solve spoj aba12e first]</t>
        </is>
      </c>
      <c r="O233" s="488" t="n">
        <v>9</v>
      </c>
      <c r="P233" s="488" t="n">
        <v>6.25</v>
      </c>
      <c r="Q233" s="297" t="inlineStr">
        <is>
          <t>p4</t>
        </is>
      </c>
    </row>
    <row r="234" ht="15.75" customHeight="1" s="279">
      <c r="A234" s="420" t="inlineStr">
        <is>
          <t>Cutting Sticks</t>
        </is>
      </c>
      <c r="B234" s="475">
        <f>HYPERLINK("https://uva.onlinejudge.org/index.php?option=com_onlinejudge&amp;Itemid=8&amp;page=show_problem&amp;problem=944","UVA 10003")</f>
        <v/>
      </c>
      <c r="C234" s="418" t="n"/>
      <c r="D234" s="418" t="n"/>
      <c r="E234" s="418" t="n"/>
      <c r="F234" s="418" t="n"/>
      <c r="G234" s="418" t="n"/>
      <c r="H234" s="418" t="n"/>
      <c r="I234" s="404">
        <f>SUM(E234:H234)</f>
        <v/>
      </c>
      <c r="J234" s="404" t="n"/>
      <c r="K234" s="404" t="n"/>
      <c r="L234" s="418" t="n"/>
      <c r="M234" s="420" t="n"/>
      <c r="N234" s="488" t="inlineStr">
        <is>
          <t>dp, [use scanf, you may need to avoid memset or use table methd]</t>
        </is>
      </c>
      <c r="O234" s="488" t="n">
        <v>10</v>
      </c>
      <c r="P234" s="488" t="n">
        <v>3</v>
      </c>
      <c r="Q234" s="297" t="inlineStr">
        <is>
          <t>p2</t>
        </is>
      </c>
    </row>
    <row r="235" ht="15.75" customHeight="1" s="279">
      <c r="A235" s="420" t="inlineStr">
        <is>
          <t>Dividing coins</t>
        </is>
      </c>
      <c r="B235" s="475">
        <f>HYPERLINK("https://uva.onlinejudge.org/index.php?option=com_onlinejudge&amp;Itemid=8&amp;page=show_problem&amp;problem=503","UVA 562")</f>
        <v/>
      </c>
      <c r="C235" s="418" t="n"/>
      <c r="D235" s="418" t="n"/>
      <c r="E235" s="418" t="n"/>
      <c r="F235" s="418" t="n"/>
      <c r="G235" s="418" t="n"/>
      <c r="H235" s="418" t="n"/>
      <c r="I235" s="404">
        <f>SUM(E235:H235)</f>
        <v/>
      </c>
      <c r="J235" s="404" t="n"/>
      <c r="K235" s="404" t="n"/>
      <c r="L235" s="418" t="n"/>
      <c r="M235" s="493">
        <f>HYPERLINK("https://www.youtube.com/watch?v=HN-oKkysTmc","Video Solution - Eng Ayman Salah")</f>
        <v/>
      </c>
      <c r="N235" s="488" t="inlineStr">
        <is>
          <t>dp</t>
        </is>
      </c>
      <c r="O235" s="488" t="n">
        <v>10</v>
      </c>
      <c r="P235" s="488" t="n">
        <v>3</v>
      </c>
    </row>
    <row r="236" ht="15.75" customHeight="1" s="279">
      <c r="A236" s="420" t="inlineStr">
        <is>
          <t>Vacation</t>
        </is>
      </c>
      <c r="B236" s="475">
        <f>HYPERLINK("https://uva.onlinejudge.org/index.php?option=onlinejudge&amp;page=show_problem&amp;problem=1133","UVA 10192")</f>
        <v/>
      </c>
      <c r="C236" s="418" t="n"/>
      <c r="D236" s="418" t="n"/>
      <c r="E236" s="418" t="n"/>
      <c r="F236" s="418" t="n"/>
      <c r="G236" s="418" t="n"/>
      <c r="H236" s="418" t="n"/>
      <c r="I236" s="404">
        <f>SUM(E236:H236)</f>
        <v/>
      </c>
      <c r="J236" s="404" t="n"/>
      <c r="K236" s="404" t="n"/>
      <c r="L236" s="418" t="n"/>
      <c r="M236" s="513" t="inlineStr">
        <is>
          <t>Explained in the tutorial videos</t>
        </is>
      </c>
      <c r="N236" s="488" t="inlineStr">
        <is>
          <t>dp, lcs</t>
        </is>
      </c>
      <c r="O236" s="488" t="n">
        <v>10</v>
      </c>
      <c r="P236" s="488" t="n">
        <v>3</v>
      </c>
    </row>
    <row r="237" ht="15.75" customHeight="1" s="279">
      <c r="A237" s="420" t="inlineStr">
        <is>
          <t>Divisibility</t>
        </is>
      </c>
      <c r="B237" s="475">
        <f>HYPERLINK("https://uva.onlinejudge.org/index.php?option=com_onlinejudge&amp;Itemid=8&amp;page=show_problem&amp;problem=977","UVA 10036")</f>
        <v/>
      </c>
      <c r="C237" s="418" t="n"/>
      <c r="D237" s="418" t="n"/>
      <c r="E237" s="418" t="n"/>
      <c r="F237" s="418" t="n"/>
      <c r="G237" s="418" t="n"/>
      <c r="H237" s="418" t="n"/>
      <c r="I237" s="404">
        <f>SUM(E237:H237)</f>
        <v/>
      </c>
      <c r="J237" s="404" t="n"/>
      <c r="K237" s="404" t="n"/>
      <c r="L237" s="418" t="n"/>
      <c r="M237" s="485" t="inlineStr">
        <is>
          <t>Sol</t>
        </is>
      </c>
      <c r="N237" s="488" t="inlineStr">
        <is>
          <t>dp, math</t>
        </is>
      </c>
      <c r="O237" s="488" t="n">
        <v>10</v>
      </c>
      <c r="P237" s="488" t="n">
        <v>3</v>
      </c>
    </row>
    <row r="238" ht="15.75" customHeight="1" s="279">
      <c r="A238" s="420" t="inlineStr">
        <is>
          <t>Longest Match</t>
        </is>
      </c>
      <c r="B238" s="475">
        <f>HYPERLINK("https://uva.onlinejudge.org/index.php?option=onlinejudge&amp;page=show_problem&amp;problem=1041","UVA 10100")</f>
        <v/>
      </c>
      <c r="C238" s="418" t="n"/>
      <c r="D238" s="418" t="n"/>
      <c r="E238" s="418" t="n"/>
      <c r="F238" s="418" t="n"/>
      <c r="G238" s="418" t="n"/>
      <c r="H238" s="418" t="n"/>
      <c r="I238" s="404">
        <f>SUM(E238:H238)</f>
        <v/>
      </c>
      <c r="J238" s="404" t="n"/>
      <c r="K238" s="404" t="n"/>
      <c r="L238" s="418" t="n"/>
      <c r="M238" s="485" t="inlineStr">
        <is>
          <t>Sol</t>
        </is>
      </c>
      <c r="N238" s="488" t="inlineStr">
        <is>
          <t>dp, lcs</t>
        </is>
      </c>
      <c r="O238" s="488" t="n">
        <v>10</v>
      </c>
      <c r="P238" s="488" t="n">
        <v>3.5</v>
      </c>
    </row>
    <row r="239" ht="15.75" customHeight="1" s="279">
      <c r="A239" s="420" t="n"/>
      <c r="B239" s="475">
        <f>HYPERLINK("https://codeforces.com/contest/1057/problem/C","CF1057-D12-C")</f>
        <v/>
      </c>
      <c r="C239" s="418" t="n"/>
      <c r="D239" s="418" t="n"/>
      <c r="E239" s="418" t="n"/>
      <c r="F239" s="418" t="n"/>
      <c r="G239" s="418" t="n"/>
      <c r="H239" s="418" t="n"/>
      <c r="I239" s="404">
        <f>SUM(E239:H239)</f>
        <v/>
      </c>
      <c r="J239" s="404" t="n"/>
      <c r="K239" s="404" t="n"/>
      <c r="L239" s="418" t="n"/>
      <c r="M239" s="488" t="n"/>
      <c r="N239" s="488" t="inlineStr">
        <is>
          <t>dp, 2d grid</t>
        </is>
      </c>
      <c r="O239" s="488" t="n">
        <v>10</v>
      </c>
      <c r="P239" s="488" t="n">
        <v>4</v>
      </c>
      <c r="Q239" s="297" t="inlineStr">
        <is>
          <t>p2</t>
        </is>
      </c>
    </row>
    <row r="240" ht="15.75" customHeight="1" s="279">
      <c r="A240" s="420" t="inlineStr">
        <is>
          <t>Alternative Thinking</t>
        </is>
      </c>
      <c r="B240" s="475">
        <f>HYPERLINK("http://codeforces.com/contest/604/problem/C","CF604-D2-C")</f>
        <v/>
      </c>
      <c r="C240" s="418" t="n"/>
      <c r="D240" s="418" t="n"/>
      <c r="E240" s="418" t="n"/>
      <c r="F240" s="418" t="n"/>
      <c r="G240" s="418" t="n"/>
      <c r="H240" s="418" t="n"/>
      <c r="I240" s="404">
        <f>SUM(E240:H240)</f>
        <v/>
      </c>
      <c r="J240" s="404" t="n"/>
      <c r="K240" s="404" t="n"/>
      <c r="L240" s="418" t="n"/>
      <c r="M240" s="420" t="n"/>
      <c r="N240" s="488" t="inlineStr">
        <is>
          <t>dp or greedy</t>
        </is>
      </c>
      <c r="O240" s="488" t="n">
        <v>10</v>
      </c>
      <c r="P240" s="488" t="n">
        <v>4</v>
      </c>
      <c r="Q240" s="297" t="inlineStr">
        <is>
          <t>p2</t>
        </is>
      </c>
    </row>
    <row r="241" ht="15.75" customHeight="1" s="279">
      <c r="A241" s="420" t="inlineStr">
        <is>
          <t>String to Palindrome</t>
        </is>
      </c>
      <c r="B241" s="475">
        <f>HYPERLINK("https://uva.onlinejudge.org/index.php?option=com_onlinejudge&amp;Itemid=8&amp;page=show_problem&amp;problem=1680","UVA 10739")</f>
        <v/>
      </c>
      <c r="C241" s="418" t="n"/>
      <c r="D241" s="418" t="n"/>
      <c r="E241" s="418" t="n"/>
      <c r="F241" s="418" t="n"/>
      <c r="G241" s="418" t="n"/>
      <c r="H241" s="418" t="n"/>
      <c r="I241" s="404">
        <f>SUM(E241:H241)</f>
        <v/>
      </c>
      <c r="J241" s="404" t="n"/>
      <c r="K241" s="404" t="n"/>
      <c r="L241" s="418" t="n"/>
      <c r="M241" s="420" t="inlineStr">
        <is>
          <t>Explained in the tutorial videos</t>
        </is>
      </c>
      <c r="N241" s="488" t="inlineStr">
        <is>
          <t>dp</t>
        </is>
      </c>
      <c r="O241" s="488" t="n">
        <v>10</v>
      </c>
      <c r="P241" s="488" t="n">
        <v>4</v>
      </c>
    </row>
    <row r="242" ht="15.75" customHeight="1" s="279">
      <c r="A242" s="420" t="inlineStr">
        <is>
          <t>Trouble of 13-Dots</t>
        </is>
      </c>
      <c r="B242" s="475">
        <f>HYPERLINK("https://uva.onlinejudge.org/index.php?option=onlinejudge&amp;page=show_problem&amp;problem=1760","UVA 10819")</f>
        <v/>
      </c>
      <c r="C242" s="418" t="n"/>
      <c r="D242" s="418" t="n"/>
      <c r="E242" s="418" t="n"/>
      <c r="F242" s="418" t="n"/>
      <c r="G242" s="418" t="n"/>
      <c r="H242" s="418" t="n"/>
      <c r="I242" s="404">
        <f>SUM(E242:H242)</f>
        <v/>
      </c>
      <c r="J242" s="404" t="n"/>
      <c r="K242" s="404" t="n"/>
      <c r="L242" s="418" t="n"/>
      <c r="M242" s="420" t="n"/>
      <c r="N242" s="488" t="inlineStr">
        <is>
          <t>dp, [knapsack]</t>
        </is>
      </c>
      <c r="O242" s="488" t="n">
        <v>10</v>
      </c>
      <c r="P242" s="488" t="n">
        <v>4</v>
      </c>
    </row>
    <row r="243" ht="15.75" customHeight="1" s="279">
      <c r="A243" s="420" t="inlineStr">
        <is>
          <t>Woodcutters</t>
        </is>
      </c>
      <c r="B243" s="475">
        <f>HYPERLINK("http://codeforces.com/contest/545/problem/C","CF545-D2-C")</f>
        <v/>
      </c>
      <c r="C243" s="418" t="n"/>
      <c r="D243" s="418" t="n"/>
      <c r="E243" s="418" t="n"/>
      <c r="F243" s="418" t="n"/>
      <c r="G243" s="418" t="n"/>
      <c r="H243" s="418" t="n"/>
      <c r="I243" s="404">
        <f>SUM(E243:H243)</f>
        <v/>
      </c>
      <c r="J243" s="404" t="n"/>
      <c r="K243" s="404" t="n"/>
      <c r="L243" s="418" t="n"/>
      <c r="M243" s="420" t="n"/>
      <c r="N243" s="488" t="inlineStr">
        <is>
          <t>dp, dp_memo</t>
        </is>
      </c>
      <c r="O243" s="488" t="n">
        <v>10</v>
      </c>
      <c r="P243" s="488" t="n">
        <v>4</v>
      </c>
    </row>
    <row r="244" ht="15.75" customHeight="1" s="279">
      <c r="A244" s="420" t="inlineStr">
        <is>
          <t>Counting</t>
        </is>
      </c>
      <c r="B244" s="475">
        <f>HYPERLINK("https://uva.onlinejudge.org/index.php?option=com_onlinejudge&amp;Itemid=8&amp;page=show_problem&amp;problem=1139","UVA 10198")</f>
        <v/>
      </c>
      <c r="C244" s="418" t="n"/>
      <c r="D244" s="418" t="n"/>
      <c r="E244" s="418" t="n"/>
      <c r="F244" s="418" t="n"/>
      <c r="G244" s="418" t="n"/>
      <c r="H244" s="418" t="n"/>
      <c r="I244" s="404">
        <f>SUM(E244:H244)</f>
        <v/>
      </c>
      <c r="J244" s="404" t="n"/>
      <c r="K244" s="404" t="n"/>
      <c r="L244" s="418" t="n"/>
      <c r="M244" s="514">
        <f>HYPERLINK("https://github.com/lamphanviet/competitive-programming/blob/master/uva-online-judge/accepted-solutions/10198%20-%20Counting.cpp","Needs Big Integer: Have it in your cpp library or learn Java for these (rare) cases")</f>
        <v/>
      </c>
      <c r="N244" s="488" t="inlineStr">
        <is>
          <t>dp, graph, cc</t>
        </is>
      </c>
      <c r="O244" s="488" t="n">
        <v>10</v>
      </c>
      <c r="P244" s="488" t="n">
        <v>4</v>
      </c>
    </row>
    <row r="245" ht="15.75" customHeight="1" s="279">
      <c r="A245" s="420" t="inlineStr">
        <is>
          <t>Given Length and Sum of Digits...</t>
        </is>
      </c>
      <c r="B245" s="475">
        <f>HYPERLINK("http://codeforces.com/contest/489/problem/C","CF489-D2-C")</f>
        <v/>
      </c>
      <c r="C245" s="418" t="n"/>
      <c r="D245" s="418" t="n"/>
      <c r="E245" s="418" t="n"/>
      <c r="F245" s="418" t="n"/>
      <c r="G245" s="418" t="n"/>
      <c r="H245" s="418" t="n"/>
      <c r="I245" s="404">
        <f>SUM(E245:H245)</f>
        <v/>
      </c>
      <c r="J245" s="404" t="n"/>
      <c r="K245" s="404" t="n"/>
      <c r="L245" s="418" t="n"/>
      <c r="M245" s="420" t="n"/>
      <c r="N245" s="488" t="inlineStr">
        <is>
          <t>dp, greedy, impl</t>
        </is>
      </c>
      <c r="O245" s="488" t="n">
        <v>10</v>
      </c>
      <c r="P245" s="488" t="n">
        <v>4</v>
      </c>
    </row>
    <row r="246" ht="15.75" customHeight="1" s="279">
      <c r="A246" s="420" t="inlineStr">
        <is>
          <t>Strategic Defense Initiative</t>
        </is>
      </c>
      <c r="B246" s="475">
        <f>HYPERLINK("https://uva.onlinejudge.org/index.php?option=com_onlinejudge&amp;Itemid=8&amp;page=show_problem&amp;problem=438","UVA 497")</f>
        <v/>
      </c>
      <c r="C246" s="418" t="n"/>
      <c r="D246" s="418" t="n"/>
      <c r="E246" s="418" t="n"/>
      <c r="F246" s="418" t="n"/>
      <c r="G246" s="418" t="n"/>
      <c r="H246" s="418" t="n"/>
      <c r="I246" s="404">
        <f>SUM(E246:H246)</f>
        <v/>
      </c>
      <c r="J246" s="404" t="n"/>
      <c r="K246" s="404" t="n"/>
      <c r="L246" s="418" t="n"/>
      <c r="M246" s="513" t="inlineStr">
        <is>
          <t>Explained in the tutorial videos</t>
        </is>
      </c>
      <c r="N246" s="488" t="inlineStr">
        <is>
          <t>dp, lis, [direct lis]</t>
        </is>
      </c>
      <c r="O246" s="488" t="n">
        <v>10</v>
      </c>
      <c r="P246" s="488" t="n">
        <v>4</v>
      </c>
    </row>
    <row r="247" ht="15.75" customHeight="1" s="279">
      <c r="A247" s="420" t="inlineStr">
        <is>
          <t>Hard problem</t>
        </is>
      </c>
      <c r="B247" s="475">
        <f>HYPERLINK("http://codeforces.com/contest/706/problem/C","CF706-D2-C")</f>
        <v/>
      </c>
      <c r="C247" s="418" t="n"/>
      <c r="D247" s="418" t="n"/>
      <c r="E247" s="418" t="n"/>
      <c r="F247" s="418" t="n"/>
      <c r="G247" s="418" t="n"/>
      <c r="H247" s="418" t="n"/>
      <c r="I247" s="404">
        <f>SUM(E247:H247)</f>
        <v/>
      </c>
      <c r="J247" s="404" t="n"/>
      <c r="K247" s="404" t="n"/>
      <c r="L247" s="418" t="n"/>
      <c r="M247" s="488" t="n"/>
      <c r="N247" s="488" t="inlineStr">
        <is>
          <t>dp</t>
        </is>
      </c>
      <c r="O247" s="488" t="n">
        <v>10</v>
      </c>
      <c r="P247" s="488" t="n">
        <v>4.5</v>
      </c>
      <c r="Q247" s="297" t="inlineStr">
        <is>
          <t>p1</t>
        </is>
      </c>
    </row>
    <row r="248" ht="15.75" customHeight="1" s="279">
      <c r="A248" s="420" t="inlineStr">
        <is>
          <t>Boredom</t>
        </is>
      </c>
      <c r="B248" s="475">
        <f>HYPERLINK("http://codeforces.com/contest/456/problem/C","CF456-D2-C")</f>
        <v/>
      </c>
      <c r="C248" s="418" t="n"/>
      <c r="D248" s="418" t="n"/>
      <c r="E248" s="418" t="n"/>
      <c r="F248" s="418" t="n"/>
      <c r="G248" s="418" t="n"/>
      <c r="H248" s="418" t="n"/>
      <c r="I248" s="404">
        <f>SUM(E248:H248)</f>
        <v/>
      </c>
      <c r="J248" s="404" t="n"/>
      <c r="K248" s="404" t="n"/>
      <c r="L248" s="418" t="n"/>
      <c r="M248" s="421" t="n"/>
      <c r="N248" s="488" t="inlineStr">
        <is>
          <t>dp</t>
        </is>
      </c>
      <c r="O248" s="488" t="n">
        <v>10</v>
      </c>
      <c r="P248" s="488" t="n">
        <v>4.5</v>
      </c>
    </row>
    <row r="249" ht="15.75" customHeight="1" s="279">
      <c r="A249" s="420" t="inlineStr">
        <is>
          <t>Coloring Trees</t>
        </is>
      </c>
      <c r="B249" s="475">
        <f>HYPERLINK("http://codeforces.com/contest/711/problem/C","CF711-D2-C")</f>
        <v/>
      </c>
      <c r="C249" s="418" t="n"/>
      <c r="D249" s="418" t="n"/>
      <c r="E249" s="418" t="n"/>
      <c r="F249" s="418" t="n"/>
      <c r="G249" s="418" t="n"/>
      <c r="H249" s="418" t="n"/>
      <c r="I249" s="404">
        <f>SUM(E249:H249)</f>
        <v/>
      </c>
      <c r="J249" s="404" t="n"/>
      <c r="K249" s="404" t="n"/>
      <c r="L249" s="418" t="n"/>
      <c r="M249" s="475">
        <f>HYPERLINK("https://www.youtube.com/watch?v=aYERNlE7KLU","Video Solution - Solver to be")</f>
        <v/>
      </c>
      <c r="N249" s="488" t="inlineStr">
        <is>
          <t>dp</t>
        </is>
      </c>
      <c r="O249" s="488" t="n">
        <v>10</v>
      </c>
      <c r="P249" s="488" t="n">
        <v>4.5</v>
      </c>
    </row>
    <row r="250" ht="15.75" customHeight="1" s="279">
      <c r="A250" s="420" t="inlineStr">
        <is>
          <t>Again Palindrome</t>
        </is>
      </c>
      <c r="B250" s="475">
        <f>HYPERLINK("https://uva.onlinejudge.org/index.php?option=com_onlinejudge&amp;Itemid=8&amp;page=show_problem&amp;problem=1558","UVA 10617")</f>
        <v/>
      </c>
      <c r="C250" s="418" t="n"/>
      <c r="D250" s="418" t="n"/>
      <c r="E250" s="418" t="n"/>
      <c r="F250" s="418" t="n"/>
      <c r="G250" s="418" t="n"/>
      <c r="H250" s="418" t="n"/>
      <c r="I250" s="404">
        <f>SUM(E250:H250)</f>
        <v/>
      </c>
      <c r="J250" s="404" t="n"/>
      <c r="K250" s="404" t="n"/>
      <c r="L250" s="418" t="n"/>
      <c r="M250" s="475">
        <f>HYPERLINK("https://github.com/magdy-hasan/competitive-programming/blob/master/uva-/uva%2010617%20-%20Again%20Palindrome.cpp","Sol to read")</f>
        <v/>
      </c>
      <c r="N250" s="488" t="inlineStr">
        <is>
          <t>dp</t>
        </is>
      </c>
      <c r="O250" s="488" t="n">
        <v>10</v>
      </c>
      <c r="P250" s="488" t="n">
        <v>4.5</v>
      </c>
    </row>
    <row r="251" ht="15.75" customHeight="1" s="279">
      <c r="A251" s="420" t="inlineStr">
        <is>
          <t>Scheduling Lectures</t>
        </is>
      </c>
      <c r="B251" s="475">
        <f>HYPERLINK("https://uva.onlinejudge.org/index.php?option=onlinejudge&amp;page=show_problem&amp;problem=548","UVA 607")</f>
        <v/>
      </c>
      <c r="C251" s="418" t="n"/>
      <c r="D251" s="418" t="n"/>
      <c r="E251" s="418" t="n"/>
      <c r="F251" s="418" t="n"/>
      <c r="G251" s="418" t="n"/>
      <c r="H251" s="418" t="n"/>
      <c r="I251" s="404">
        <f>SUM(E251:H251)</f>
        <v/>
      </c>
      <c r="J251" s="404" t="n"/>
      <c r="K251" s="404" t="n"/>
      <c r="L251" s="512" t="n"/>
      <c r="M251" s="493">
        <f>HYPERLINK("https://github.com/MichaelMounir12/CompetitiveProgramming/blob/69c0dba2b0b29083ebad94dfd18be25dcf903235/UVA/UVA_607.cpp","Sol")</f>
        <v/>
      </c>
      <c r="N251" s="488" t="inlineStr">
        <is>
          <t>dp</t>
        </is>
      </c>
      <c r="O251" s="488" t="n">
        <v>10</v>
      </c>
      <c r="P251" s="488" t="n">
        <v>4.5</v>
      </c>
    </row>
    <row r="252" ht="15.75" customHeight="1" s="279">
      <c r="A252" s="420" t="inlineStr">
        <is>
          <t>Divide by Three</t>
        </is>
      </c>
      <c r="B252" s="475">
        <f>HYPERLINK("http://codeforces.com/contest/792/problem/C","CF792-D2-C")</f>
        <v/>
      </c>
      <c r="C252" s="418" t="n"/>
      <c r="D252" s="418" t="n"/>
      <c r="E252" s="418" t="n"/>
      <c r="F252" s="418" t="n"/>
      <c r="G252" s="418" t="n"/>
      <c r="H252" s="418" t="n"/>
      <c r="I252" s="404">
        <f>SUM(E252:H252)</f>
        <v/>
      </c>
      <c r="J252" s="404" t="n"/>
      <c r="K252" s="404" t="n"/>
      <c r="L252" s="418" t="n"/>
      <c r="M252" s="475">
        <f>HYPERLINK("https://www.youtube.com/watch?v=BgG5sjJslYk","Video Solution - Solver to be (Java)")</f>
        <v/>
      </c>
      <c r="N252" s="488" t="inlineStr">
        <is>
          <t>dp, dp_memo or greedy</t>
        </is>
      </c>
      <c r="O252" s="488" t="n">
        <v>10</v>
      </c>
      <c r="P252" s="488" t="n">
        <v>4.5</v>
      </c>
    </row>
    <row r="253" ht="15.75" customHeight="1" s="279">
      <c r="A253" s="420" t="inlineStr">
        <is>
          <t>Wavio Sequence</t>
        </is>
      </c>
      <c r="B253" s="475">
        <f>HYPERLINK("https://uva.onlinejudge.org/index.php?option=com_onlinejudge&amp;Itemid=8&amp;page=show_problem&amp;problem=1475","UVA 10534")</f>
        <v/>
      </c>
      <c r="C253" s="418" t="n"/>
      <c r="D253" s="418" t="n"/>
      <c r="E253" s="418" t="n"/>
      <c r="F253" s="418" t="n"/>
      <c r="G253" s="418" t="n"/>
      <c r="H253" s="418" t="n"/>
      <c r="I253" s="404">
        <f>SUM(E253:H253)</f>
        <v/>
      </c>
      <c r="J253" s="418" t="n"/>
      <c r="K253" s="418" t="n"/>
      <c r="L253" s="418" t="n"/>
      <c r="M253" s="421">
        <f>HYPERLINK("https://github.com/AliOsm/CompetitiveProgramming/blob/master/UVA/10534%20-%20Wavio%20Sequence.cpp","Sol")</f>
        <v/>
      </c>
      <c r="N253" s="488" t="inlineStr">
        <is>
          <t>dp, lis efficient, lis indices or segment tree</t>
        </is>
      </c>
      <c r="O253" s="488" t="n">
        <v>10</v>
      </c>
      <c r="P253" s="488" t="n">
        <v>5</v>
      </c>
      <c r="Q253" s="297" t="inlineStr">
        <is>
          <t>p3</t>
        </is>
      </c>
    </row>
    <row r="254" ht="15.75" customHeight="1" s="279">
      <c r="A254" s="420" t="inlineStr">
        <is>
          <t>Good Sequences</t>
        </is>
      </c>
      <c r="B254" s="475">
        <f>HYPERLINK("http://codeforces.com/contest/265/problem/D","CF265-D2-D")</f>
        <v/>
      </c>
      <c r="C254" s="418" t="n"/>
      <c r="D254" s="418" t="n"/>
      <c r="E254" s="418" t="n"/>
      <c r="F254" s="418" t="n"/>
      <c r="G254" s="418" t="n"/>
      <c r="H254" s="418" t="n"/>
      <c r="I254" s="404">
        <f>SUM(E254:H254)</f>
        <v/>
      </c>
      <c r="J254" s="418" t="n"/>
      <c r="K254" s="418" t="n"/>
      <c r="L254" s="418" t="n"/>
      <c r="M254" s="420" t="n"/>
      <c r="N254" s="488" t="inlineStr">
        <is>
          <t>dp, sieve, binary search</t>
        </is>
      </c>
      <c r="O254" s="488" t="n">
        <v>10</v>
      </c>
      <c r="P254" s="488" t="n">
        <v>5</v>
      </c>
      <c r="Q254" s="297" t="inlineStr">
        <is>
          <t>p3</t>
        </is>
      </c>
    </row>
    <row r="255" ht="15.75" customHeight="1" s="279">
      <c r="A255" s="420" t="inlineStr">
        <is>
          <t>Dima and Salad</t>
        </is>
      </c>
      <c r="B255" s="475">
        <f>HYPERLINK("http://codeforces.com/contest/366/problem/C","CF366-D2-C")</f>
        <v/>
      </c>
      <c r="C255" s="418" t="n"/>
      <c r="D255" s="418" t="n"/>
      <c r="E255" s="418" t="n"/>
      <c r="F255" s="418" t="n"/>
      <c r="G255" s="418" t="n"/>
      <c r="H255" s="418" t="n"/>
      <c r="I255" s="404">
        <f>SUM(E255:H255)</f>
        <v/>
      </c>
      <c r="J255" s="404" t="n"/>
      <c r="K255" s="404" t="n"/>
      <c r="L255" s="512" t="n"/>
      <c r="M255" s="420" t="n"/>
      <c r="N255" s="488" t="inlineStr">
        <is>
          <t>dp, knapsack</t>
        </is>
      </c>
      <c r="O255" s="488" t="n">
        <v>10</v>
      </c>
      <c r="P255" s="488" t="n">
        <v>5</v>
      </c>
      <c r="Q255" s="297" t="inlineStr">
        <is>
          <t>p2</t>
        </is>
      </c>
    </row>
    <row r="256" ht="15.75" customHeight="1" s="279">
      <c r="A256" s="420" t="n"/>
      <c r="B256" s="475">
        <f>HYPERLINK("http://codeforces.com/contest/101/problem/B","CF101-D1-B")</f>
        <v/>
      </c>
      <c r="C256" s="418" t="n"/>
      <c r="D256" s="418" t="n"/>
      <c r="E256" s="418" t="n"/>
      <c r="F256" s="418" t="n"/>
      <c r="G256" s="418" t="n"/>
      <c r="H256" s="418" t="n"/>
      <c r="I256" s="404">
        <f>SUM(E256:H256)</f>
        <v/>
      </c>
      <c r="J256" s="404" t="n"/>
      <c r="K256" s="404" t="n"/>
      <c r="L256" s="418" t="n"/>
      <c r="M256" s="493">
        <f>HYPERLINK("https://github.com/Huvok/CompetitiveProgramming/blob/master/Codeforces/CF101-D1-B.cpp","Sol")</f>
        <v/>
      </c>
      <c r="N256" s="488" t="inlineStr">
        <is>
          <t>dp, datastructures or binary search, impl</t>
        </is>
      </c>
      <c r="O256" s="488" t="n">
        <v>10</v>
      </c>
      <c r="P256" s="488" t="n">
        <v>5</v>
      </c>
      <c r="Q256" s="297" t="inlineStr">
        <is>
          <t>p2</t>
        </is>
      </c>
    </row>
    <row r="257" ht="15.75" customHeight="1" s="279">
      <c r="A257" s="420" t="inlineStr">
        <is>
          <t>Bubble Sort Graph</t>
        </is>
      </c>
      <c r="B257" s="475">
        <f>HYPERLINK("http://codeforces.com/contest/340/problem/D","CF340-D2-D")</f>
        <v/>
      </c>
      <c r="C257" s="418" t="n"/>
      <c r="D257" s="418" t="n"/>
      <c r="E257" s="418" t="n"/>
      <c r="F257" s="418" t="n"/>
      <c r="G257" s="418" t="n"/>
      <c r="H257" s="418" t="n"/>
      <c r="I257" s="404">
        <f>SUM(E257:H257)</f>
        <v/>
      </c>
      <c r="J257" s="418" t="n"/>
      <c r="K257" s="418" t="n"/>
      <c r="L257" s="512" t="n"/>
      <c r="M257" s="420" t="n"/>
      <c r="N257" s="488" t="inlineStr">
        <is>
          <t>dp, lis, onlogn, reduce to efficient lis or dp, bit</t>
        </is>
      </c>
      <c r="O257" s="488" t="n">
        <v>10</v>
      </c>
      <c r="P257" s="488" t="n">
        <v>5</v>
      </c>
      <c r="Q257" s="297" t="inlineStr">
        <is>
          <t>p2</t>
        </is>
      </c>
    </row>
    <row r="258" ht="15.75" customHeight="1" s="279">
      <c r="A258" s="420" t="n"/>
      <c r="B258" s="475">
        <f>HYPERLINK("http://codeforces.com/contest/506/problem/A", "CF506-D1-A")</f>
        <v/>
      </c>
      <c r="C258" s="418" t="n"/>
      <c r="D258" s="418" t="n"/>
      <c r="E258" s="418" t="n"/>
      <c r="F258" s="418" t="n"/>
      <c r="G258" s="418" t="n"/>
      <c r="H258" s="418" t="n"/>
      <c r="I258" s="404">
        <f>SUM(E258:H258)</f>
        <v/>
      </c>
      <c r="J258" s="418" t="n"/>
      <c r="K258" s="418" t="n"/>
      <c r="L258" s="418" t="n"/>
      <c r="M258" s="421" t="n"/>
      <c r="N258" s="488" t="inlineStr">
        <is>
          <t>dp, observation</t>
        </is>
      </c>
      <c r="O258" s="488" t="n">
        <v>10</v>
      </c>
      <c r="P258" s="488" t="n">
        <v>5</v>
      </c>
      <c r="Q258" s="297" t="inlineStr">
        <is>
          <t>p2</t>
        </is>
      </c>
    </row>
    <row r="259" ht="15.75" customHeight="1" s="279">
      <c r="A259" s="420" t="inlineStr">
        <is>
          <t>Barcode</t>
        </is>
      </c>
      <c r="B259" s="475">
        <f>HYPERLINK("http://codeforces.com/contest/225/problem/C","CF225-D2-C")</f>
        <v/>
      </c>
      <c r="C259" s="418" t="n"/>
      <c r="D259" s="418" t="n"/>
      <c r="E259" s="418" t="n"/>
      <c r="F259" s="418" t="n"/>
      <c r="G259" s="418" t="n"/>
      <c r="H259" s="418" t="n"/>
      <c r="I259" s="404">
        <f>SUM(E259:H259)</f>
        <v/>
      </c>
      <c r="J259" s="404" t="n"/>
      <c r="K259" s="404" t="n"/>
      <c r="L259" s="418" t="n"/>
      <c r="M259" s="475">
        <f>HYPERLINK("https://www.youtube.com/watch?v=O7Tja1S5IYQ","Video Solution - Dr Mostafa Saad")</f>
        <v/>
      </c>
      <c r="N259" s="488" t="inlineStr">
        <is>
          <t>dp</t>
        </is>
      </c>
      <c r="O259" s="488" t="n">
        <v>10</v>
      </c>
      <c r="P259" s="488" t="n">
        <v>5</v>
      </c>
    </row>
    <row r="260" ht="15.75" customHeight="1" s="279">
      <c r="A260" s="420" t="inlineStr">
        <is>
          <t>Vacations</t>
        </is>
      </c>
      <c r="B260" s="475">
        <f>HYPERLINK("http://codeforces.com/contest/699/problem/C","CF699-D2-C")</f>
        <v/>
      </c>
      <c r="C260" s="418" t="n"/>
      <c r="D260" s="418" t="n"/>
      <c r="E260" s="418" t="n"/>
      <c r="F260" s="418" t="n"/>
      <c r="G260" s="418" t="n"/>
      <c r="H260" s="418" t="n"/>
      <c r="I260" s="404">
        <f>SUM(E260:H260)</f>
        <v/>
      </c>
      <c r="J260" s="404" t="n"/>
      <c r="K260" s="404" t="n"/>
      <c r="L260" s="418" t="n"/>
      <c r="M260" s="420" t="n"/>
      <c r="N260" s="488" t="inlineStr">
        <is>
          <t>dp</t>
        </is>
      </c>
      <c r="O260" s="488" t="n">
        <v>10</v>
      </c>
      <c r="P260" s="488" t="n">
        <v>5</v>
      </c>
    </row>
    <row r="261" ht="15.75" customHeight="1" s="279">
      <c r="A261" s="420" t="inlineStr">
        <is>
          <t>Greenhouse Effect</t>
        </is>
      </c>
      <c r="B261" s="475">
        <f>HYPERLINK("http://codeforces.com/contest/270/problem/D","CF270-D2-D")</f>
        <v/>
      </c>
      <c r="C261" s="418" t="n"/>
      <c r="D261" s="418" t="n"/>
      <c r="E261" s="418" t="n"/>
      <c r="F261" s="418" t="n"/>
      <c r="G261" s="418" t="n"/>
      <c r="H261" s="418" t="n"/>
      <c r="I261" s="404">
        <f>SUM(E261:H261)</f>
        <v/>
      </c>
      <c r="J261" s="418" t="n"/>
      <c r="K261" s="418" t="n"/>
      <c r="L261" s="418" t="n"/>
      <c r="M261" s="420" t="n"/>
      <c r="N261" s="488" t="inlineStr">
        <is>
          <t>dp, lcs, analysis</t>
        </is>
      </c>
      <c r="O261" s="488" t="n">
        <v>10</v>
      </c>
      <c r="P261" s="488" t="n">
        <v>5</v>
      </c>
    </row>
    <row r="262" ht="15.75" customHeight="1" s="279">
      <c r="A262" s="420" t="inlineStr">
        <is>
          <t>Journey</t>
        </is>
      </c>
      <c r="B262" s="475">
        <f>HYPERLINK("http://codeforces.com/contest/721/problem/C","CF721-D2-C")</f>
        <v/>
      </c>
      <c r="C262" s="418" t="n"/>
      <c r="D262" s="418" t="n"/>
      <c r="E262" s="418" t="n"/>
      <c r="F262" s="418" t="n"/>
      <c r="G262" s="418" t="n"/>
      <c r="H262" s="418" t="n"/>
      <c r="I262" s="404">
        <f>SUM(E262:H262)</f>
        <v/>
      </c>
      <c r="J262" s="404" t="n"/>
      <c r="K262" s="404" t="n"/>
      <c r="L262" s="418" t="n"/>
      <c r="M262" s="420" t="n"/>
      <c r="N262" s="488" t="inlineStr">
        <is>
          <t>dp, graph or dijkstra</t>
        </is>
      </c>
      <c r="O262" s="488" t="n">
        <v>10</v>
      </c>
      <c r="P262" s="488" t="n">
        <v>5</v>
      </c>
      <c r="Q262" s="297" t="inlineStr">
        <is>
          <t>p2</t>
        </is>
      </c>
    </row>
    <row r="263" ht="15.75" customHeight="1" s="279">
      <c r="A263" s="420" t="n"/>
      <c r="B263" s="475">
        <f>HYPERLINK("http://codeforces.com/contest/264/problem/C","CF264-D1-C")</f>
        <v/>
      </c>
      <c r="C263" s="418" t="n"/>
      <c r="D263" s="418" t="n"/>
      <c r="E263" s="418" t="n"/>
      <c r="F263" s="418" t="n"/>
      <c r="G263" s="418" t="n"/>
      <c r="H263" s="418" t="n"/>
      <c r="I263" s="404">
        <f>SUM(E263:H263)</f>
        <v/>
      </c>
      <c r="J263" s="418" t="n"/>
      <c r="K263" s="418" t="n"/>
      <c r="L263" s="418" t="n"/>
      <c r="M263" s="421" t="n"/>
      <c r="N263" s="488" t="inlineStr">
        <is>
          <t>dp, [non standard]</t>
        </is>
      </c>
      <c r="O263" s="488" t="n">
        <v>10</v>
      </c>
      <c r="P263" s="488" t="n">
        <v>5.5</v>
      </c>
      <c r="Q263" s="297" t="inlineStr">
        <is>
          <t>p4</t>
        </is>
      </c>
    </row>
    <row r="264" ht="15.75" customHeight="1" s="279">
      <c r="A264" s="420" t="inlineStr">
        <is>
          <t>Cow Program</t>
        </is>
      </c>
      <c r="B264" s="475">
        <f>HYPERLINK("http://codeforces.com/contest/284/problem/D","CF284-D2-D")</f>
        <v/>
      </c>
      <c r="C264" s="418" t="n"/>
      <c r="D264" s="418" t="n"/>
      <c r="E264" s="418" t="n"/>
      <c r="F264" s="418" t="n"/>
      <c r="G264" s="418" t="n"/>
      <c r="H264" s="418" t="n"/>
      <c r="I264" s="404">
        <f>SUM(E264:H264)</f>
        <v/>
      </c>
      <c r="J264" s="418" t="n"/>
      <c r="K264" s="418" t="n"/>
      <c r="L264" s="418" t="n"/>
      <c r="M264" s="420" t="n"/>
      <c r="N264" s="488" t="inlineStr">
        <is>
          <t>dp, analysis</t>
        </is>
      </c>
      <c r="O264" s="488" t="n">
        <v>10</v>
      </c>
      <c r="P264" s="488" t="n">
        <v>5.5</v>
      </c>
      <c r="Q264" s="297" t="inlineStr">
        <is>
          <t>p3</t>
        </is>
      </c>
    </row>
    <row r="265" ht="15.75" customHeight="1" s="279">
      <c r="A265" s="420" t="n"/>
      <c r="B265" s="475">
        <f>HYPERLINK("https://codeforces.com/contest/1066/problem/F","CF1066-D3-F")</f>
        <v/>
      </c>
      <c r="C265" s="418" t="n"/>
      <c r="D265" s="418" t="n"/>
      <c r="E265" s="418" t="n"/>
      <c r="F265" s="418" t="n"/>
      <c r="G265" s="418" t="n"/>
      <c r="H265" s="418" t="n"/>
      <c r="I265" s="404">
        <f>SUM(E265:H265)</f>
        <v/>
      </c>
      <c r="J265" s="404" t="n"/>
      <c r="K265" s="404" t="n"/>
      <c r="L265" s="418" t="n"/>
      <c r="M265" s="488" t="n"/>
      <c r="N265" s="488" t="inlineStr">
        <is>
          <t>dp, cases</t>
        </is>
      </c>
      <c r="O265" s="488" t="n">
        <v>10</v>
      </c>
      <c r="P265" s="488" t="n">
        <v>5.5</v>
      </c>
      <c r="Q265" s="297" t="inlineStr">
        <is>
          <t>p3</t>
        </is>
      </c>
    </row>
    <row r="266" ht="15.75" customHeight="1" s="279">
      <c r="A266" s="420" t="inlineStr">
        <is>
          <t>Optimal Array Multiplication Sequence</t>
        </is>
      </c>
      <c r="B266" s="475">
        <f>HYPERLINK("https://uva.onlinejudge.org/index.php?option=com_onlinejudge&amp;Itemid=8&amp;page=show_problem&amp;problem=284","UVA 348")</f>
        <v/>
      </c>
      <c r="C266" s="418" t="n"/>
      <c r="D266" s="418" t="n"/>
      <c r="E266" s="418" t="n"/>
      <c r="F266" s="418" t="n"/>
      <c r="G266" s="418" t="n"/>
      <c r="H266" s="418" t="n"/>
      <c r="I266" s="404">
        <f>SUM(E266:H266)</f>
        <v/>
      </c>
      <c r="J266" s="404" t="n"/>
      <c r="K266" s="404" t="n"/>
      <c r="L266" s="418" t="n"/>
      <c r="M266" s="493">
        <f>HYPERLINK("https://github.com/mostafa-saad/MyCompetitiveProgramming/blob/master/UVA/UVA_348.txt","Sol")</f>
        <v/>
      </c>
      <c r="N266" s="488" t="inlineStr">
        <is>
          <t>dp, mcm</t>
        </is>
      </c>
      <c r="O266" s="488" t="n">
        <v>10</v>
      </c>
      <c r="P266" s="488" t="n">
        <v>5.5</v>
      </c>
      <c r="Q266" s="297" t="inlineStr">
        <is>
          <t>p3</t>
        </is>
      </c>
    </row>
    <row r="267" ht="15.75" customHeight="1" s="279">
      <c r="A267" s="420" t="n"/>
      <c r="B267" s="420" t="inlineStr">
        <is>
          <t>SRM569-D2-1000</t>
        </is>
      </c>
      <c r="C267" s="418" t="n"/>
      <c r="D267" s="418" t="n"/>
      <c r="E267" s="418" t="n"/>
      <c r="F267" s="418" t="n"/>
      <c r="G267" s="418" t="n"/>
      <c r="H267" s="418" t="n"/>
      <c r="I267" s="404">
        <f>SUM(E267:H267)</f>
        <v/>
      </c>
      <c r="J267" s="404" t="n"/>
      <c r="K267" s="404" t="n"/>
      <c r="L267" s="418" t="n"/>
      <c r="M267" s="488" t="n"/>
      <c r="N267" s="488" t="inlineStr">
        <is>
          <t>dp, primes</t>
        </is>
      </c>
      <c r="O267" s="488" t="n">
        <v>10</v>
      </c>
      <c r="P267" s="488" t="n">
        <v>5.5</v>
      </c>
      <c r="Q267" s="297" t="inlineStr">
        <is>
          <t>p3</t>
        </is>
      </c>
    </row>
    <row r="268" ht="15.75" customHeight="1" s="279">
      <c r="A268" s="420" t="inlineStr">
        <is>
          <t>Ilya and Roads</t>
        </is>
      </c>
      <c r="B268" s="475">
        <f>HYPERLINK("http://codeforces.com/contest/313/problem/D","CF313-D2-D")</f>
        <v/>
      </c>
      <c r="C268" s="418" t="n"/>
      <c r="D268" s="418" t="n"/>
      <c r="E268" s="418" t="n"/>
      <c r="F268" s="418" t="n"/>
      <c r="G268" s="418" t="n"/>
      <c r="H268" s="418" t="n"/>
      <c r="I268" s="404">
        <f>SUM(E268:H268)</f>
        <v/>
      </c>
      <c r="J268" s="418" t="n"/>
      <c r="K268" s="418" t="n"/>
      <c r="L268" s="512" t="n"/>
      <c r="M268" s="420" t="n"/>
      <c r="N268" s="488" t="inlineStr">
        <is>
          <t>dp, tree</t>
        </is>
      </c>
      <c r="O268" s="488" t="n">
        <v>10</v>
      </c>
      <c r="P268" s="488" t="n">
        <v>5.5</v>
      </c>
      <c r="Q268" s="297" t="inlineStr">
        <is>
          <t>p3</t>
        </is>
      </c>
    </row>
    <row r="269" ht="15.75" customHeight="1" s="279">
      <c r="A269" s="420" t="n"/>
      <c r="B269" s="420" t="inlineStr">
        <is>
          <t>TIMUS 1156</t>
        </is>
      </c>
      <c r="C269" s="418" t="n"/>
      <c r="D269" s="418" t="n"/>
      <c r="E269" s="418" t="n"/>
      <c r="F269" s="418" t="n"/>
      <c r="G269" s="418" t="n"/>
      <c r="H269" s="418" t="n"/>
      <c r="I269" s="404">
        <f>SUM(E269:H269)</f>
        <v/>
      </c>
      <c r="J269" s="418" t="n"/>
      <c r="K269" s="418" t="n"/>
      <c r="L269" s="418" t="n"/>
      <c r="M269" s="420" t="n"/>
      <c r="N269" s="488" t="inlineStr">
        <is>
          <t>dp, bicoloring, is bipartite</t>
        </is>
      </c>
      <c r="O269" s="488" t="n">
        <v>10</v>
      </c>
      <c r="P269" s="488" t="n">
        <v>5.5</v>
      </c>
      <c r="Q269" s="297" t="inlineStr">
        <is>
          <t>p2</t>
        </is>
      </c>
    </row>
    <row r="270" ht="15.75" customHeight="1" s="279">
      <c r="A270" s="420" t="inlineStr">
        <is>
          <t>Coloring Brackets</t>
        </is>
      </c>
      <c r="B270" s="475">
        <f>HYPERLINK("http://codeforces.com/contest/149/problem/D","CF149-D2-D")</f>
        <v/>
      </c>
      <c r="C270" s="418" t="n"/>
      <c r="D270" s="418" t="n"/>
      <c r="E270" s="418" t="n"/>
      <c r="F270" s="418" t="n"/>
      <c r="G270" s="418" t="n"/>
      <c r="H270" s="418" t="n"/>
      <c r="I270" s="404">
        <f>SUM(E270:H270)</f>
        <v/>
      </c>
      <c r="J270" s="418" t="n"/>
      <c r="K270" s="418" t="n"/>
      <c r="L270" s="512" t="n"/>
      <c r="M270" s="493">
        <f>HYPERLINK("https://github.com/osamahatem/CompetitiveProgramming/blob/master/Codeforces/149D.%20Coloring%20Brackets.cpp","Sol")</f>
        <v/>
      </c>
      <c r="N270" s="488" t="inlineStr">
        <is>
          <t>dp, dp_conting, dp_ranges</t>
        </is>
      </c>
      <c r="O270" s="488" t="n">
        <v>10</v>
      </c>
      <c r="P270" s="488" t="n">
        <v>5.5</v>
      </c>
      <c r="Q270" s="297" t="inlineStr">
        <is>
          <t>p2</t>
        </is>
      </c>
    </row>
    <row r="271" ht="15.75" customHeight="1" s="279">
      <c r="A271" s="420" t="n"/>
      <c r="B271" s="475">
        <f>HYPERLINK("http://codeforces.com/contest/1012/problem/C","CF1012-D1-C")</f>
        <v/>
      </c>
      <c r="C271" s="418" t="n"/>
      <c r="D271" s="418" t="n"/>
      <c r="E271" s="418" t="n"/>
      <c r="F271" s="418" t="n"/>
      <c r="G271" s="418" t="n"/>
      <c r="H271" s="418" t="n"/>
      <c r="I271" s="404">
        <f>SUM(E271:H271)</f>
        <v/>
      </c>
      <c r="J271" s="404" t="n"/>
      <c r="K271" s="404" t="n"/>
      <c r="L271" s="512" t="n"/>
      <c r="M271" s="488" t="n"/>
      <c r="N271" s="488" t="inlineStr">
        <is>
          <t>dp, [non standard]</t>
        </is>
      </c>
      <c r="O271" s="488" t="n">
        <v>10</v>
      </c>
      <c r="P271" s="488" t="n">
        <v>5.5</v>
      </c>
      <c r="Q271" s="297" t="inlineStr">
        <is>
          <t>p2</t>
        </is>
      </c>
    </row>
    <row r="272" ht="15.75" customHeight="1" s="279">
      <c r="A272" s="420" t="n"/>
      <c r="B272" s="475">
        <f>HYPERLINK("http://codeforces.com/contest/623/problem/B","CF623-D1-B")</f>
        <v/>
      </c>
      <c r="C272" s="418" t="n"/>
      <c r="D272" s="418" t="n"/>
      <c r="E272" s="418" t="n"/>
      <c r="F272" s="418" t="n"/>
      <c r="G272" s="418" t="n"/>
      <c r="H272" s="418" t="n"/>
      <c r="I272" s="404">
        <f>SUM(E272:H272)</f>
        <v/>
      </c>
      <c r="J272" s="418" t="n"/>
      <c r="K272" s="418" t="n"/>
      <c r="L272" s="418" t="n"/>
      <c r="M272" s="421" t="n"/>
      <c r="N272" s="488" t="inlineStr">
        <is>
          <t>dp, gcd</t>
        </is>
      </c>
      <c r="O272" s="488" t="n">
        <v>10</v>
      </c>
      <c r="P272" s="488" t="n">
        <v>5.75</v>
      </c>
      <c r="Q272" s="297" t="inlineStr">
        <is>
          <t>p4</t>
        </is>
      </c>
    </row>
    <row r="273" ht="15.75" customHeight="1" s="279">
      <c r="A273" s="420" t="n"/>
      <c r="B273" s="475">
        <f>HYPERLINK("http://codeforces.com/contest/1071/problem/B","CF1072-D2-D")</f>
        <v/>
      </c>
      <c r="C273" s="418" t="n"/>
      <c r="D273" s="418" t="n"/>
      <c r="E273" s="418" t="n"/>
      <c r="F273" s="418" t="n"/>
      <c r="G273" s="418" t="n"/>
      <c r="H273" s="418" t="n"/>
      <c r="I273" s="404">
        <f>SUM(E273:H273)</f>
        <v/>
      </c>
      <c r="J273" s="418" t="n"/>
      <c r="K273" s="418" t="n"/>
      <c r="L273" s="418" t="n"/>
      <c r="M273" s="420" t="n"/>
      <c r="N273" s="488" t="inlineStr">
        <is>
          <t>dp, greedy</t>
        </is>
      </c>
      <c r="O273" s="488" t="n">
        <v>10</v>
      </c>
      <c r="P273" s="488" t="n">
        <v>5.75</v>
      </c>
      <c r="Q273" s="297" t="inlineStr">
        <is>
          <t>p3</t>
        </is>
      </c>
    </row>
    <row r="274" ht="15.75" customHeight="1" s="279">
      <c r="A274" s="420" t="n"/>
      <c r="B274" s="475">
        <f>HYPERLINK("http://codeforces.com/contest/1025/problem/D","CF1025-D2-D")</f>
        <v/>
      </c>
      <c r="C274" s="418" t="n"/>
      <c r="D274" s="418" t="n"/>
      <c r="E274" s="418" t="n"/>
      <c r="F274" s="418" t="n"/>
      <c r="G274" s="418" t="n"/>
      <c r="H274" s="418" t="n"/>
      <c r="I274" s="404">
        <f>SUM(E274:H274)</f>
        <v/>
      </c>
      <c r="J274" s="418" t="n"/>
      <c r="K274" s="418" t="n"/>
      <c r="L274" s="418" t="n"/>
      <c r="M274" s="420" t="n"/>
      <c r="N274" s="488" t="inlineStr">
        <is>
          <t>dp, d&amp;c</t>
        </is>
      </c>
      <c r="O274" s="488" t="n">
        <v>10</v>
      </c>
      <c r="P274" s="488" t="n">
        <v>6</v>
      </c>
      <c r="Q274" s="297" t="inlineStr">
        <is>
          <t>p2</t>
        </is>
      </c>
    </row>
    <row r="275" ht="15.75" customHeight="1" s="279">
      <c r="A275" s="420" t="n"/>
      <c r="B275" s="475">
        <f>HYPERLINK("https://www.facebook.com/hackercup/problem/180494849326631/","FbHkrCup 18-R1-A")</f>
        <v/>
      </c>
      <c r="C275" s="418" t="n"/>
      <c r="D275" s="418" t="n"/>
      <c r="E275" s="418" t="n"/>
      <c r="F275" s="418" t="n"/>
      <c r="G275" s="418" t="n"/>
      <c r="H275" s="418" t="n"/>
      <c r="I275" s="404">
        <f>SUM(E275:H275)</f>
        <v/>
      </c>
      <c r="J275" s="404" t="n"/>
      <c r="K275" s="404" t="n"/>
      <c r="L275" s="418" t="n"/>
      <c r="M275" s="488" t="n"/>
      <c r="N275" s="488" t="inlineStr">
        <is>
          <t>dp, dp_adhoc, [non standard]</t>
        </is>
      </c>
      <c r="O275" s="488" t="n">
        <v>11</v>
      </c>
      <c r="P275" s="488" t="n">
        <v>5</v>
      </c>
      <c r="Q275" s="297" t="inlineStr">
        <is>
          <t>p2</t>
        </is>
      </c>
    </row>
    <row r="276" ht="15.75" customHeight="1" s="279">
      <c r="A276" s="420" t="inlineStr">
        <is>
          <t>Kefa and Dishes</t>
        </is>
      </c>
      <c r="B276" s="475">
        <f>HYPERLINK("http://codeforces.com/contest/580/problem/D","CF580-D2-D")</f>
        <v/>
      </c>
      <c r="C276" s="418" t="n"/>
      <c r="D276" s="418" t="n"/>
      <c r="E276" s="418" t="n"/>
      <c r="F276" s="418" t="n"/>
      <c r="G276" s="418" t="n"/>
      <c r="H276" s="418" t="n"/>
      <c r="I276" s="404">
        <f>SUM(E276:H276)</f>
        <v/>
      </c>
      <c r="J276" s="418" t="n"/>
      <c r="K276" s="418" t="n"/>
      <c r="L276" s="418" t="n"/>
      <c r="M276" s="475">
        <f>HYPERLINK("https://www.youtube.com/watch?v=GvWLpm0tBEU&amp;index=29&amp;list=PLPSFnlxEu99Eds9cvJPk49sljXXvarTxM","Video Solution - Solver to be")</f>
        <v/>
      </c>
      <c r="N276" s="488" t="inlineStr">
        <is>
          <t>dp, dp_bitmasks</t>
        </is>
      </c>
      <c r="O276" s="488" t="n">
        <v>13</v>
      </c>
      <c r="P276" s="488" t="n">
        <v>4</v>
      </c>
      <c r="Q276" s="297" t="inlineStr">
        <is>
          <t>p2</t>
        </is>
      </c>
    </row>
    <row r="277" ht="15.75" customHeight="1" s="279">
      <c r="A277" s="420" t="inlineStr">
        <is>
          <t>Permutations</t>
        </is>
      </c>
      <c r="B277" s="475">
        <f>HYPERLINK("http://www.spoj.com/problems/PERMUT1/","SPOJ PERMUT1")</f>
        <v/>
      </c>
      <c r="C277" s="418" t="n"/>
      <c r="D277" s="418" t="n"/>
      <c r="E277" s="418" t="n"/>
      <c r="F277" s="418" t="n"/>
      <c r="G277" s="418" t="n"/>
      <c r="H277" s="418" t="n"/>
      <c r="I277" s="404">
        <f>SUM(E277:H277)</f>
        <v/>
      </c>
      <c r="J277" s="418" t="n"/>
      <c r="K277" s="418" t="n"/>
      <c r="L277" s="418" t="n"/>
      <c r="M277" s="420" t="n"/>
      <c r="N277" s="488" t="inlineStr">
        <is>
          <t>dp, dp_bitmasks</t>
        </is>
      </c>
      <c r="O277" s="488" t="n">
        <v>13</v>
      </c>
      <c r="P277" s="488" t="n">
        <v>4</v>
      </c>
      <c r="Q277" s="297" t="inlineStr">
        <is>
          <t>p2</t>
        </is>
      </c>
    </row>
    <row r="278" ht="15.75" customHeight="1" s="279">
      <c r="A278" s="420" t="inlineStr">
        <is>
          <t>Assignments</t>
        </is>
      </c>
      <c r="B278" s="475">
        <f>HYPERLINK("http://www.spoj.com/problems/ASSIGN/","SPOJ ASSIGN")</f>
        <v/>
      </c>
      <c r="C278" s="418" t="n"/>
      <c r="D278" s="418" t="n"/>
      <c r="E278" s="418" t="n"/>
      <c r="F278" s="418" t="n"/>
      <c r="G278" s="418" t="n"/>
      <c r="H278" s="418" t="n"/>
      <c r="I278" s="404">
        <f>SUM(E278:H278)</f>
        <v/>
      </c>
      <c r="J278" s="418" t="n"/>
      <c r="K278" s="418" t="n"/>
      <c r="L278" s="418" t="n"/>
      <c r="M278" s="420" t="n"/>
      <c r="N278" s="488" t="inlineStr">
        <is>
          <t>dp, dp_bitmasks</t>
        </is>
      </c>
      <c r="O278" s="488" t="n">
        <v>13</v>
      </c>
      <c r="P278" s="488" t="n">
        <v>4</v>
      </c>
      <c r="Q278" s="297" t="inlineStr">
        <is>
          <t>p1</t>
        </is>
      </c>
    </row>
    <row r="279" ht="15.75" customHeight="1" s="279">
      <c r="A279" s="420" t="inlineStr">
        <is>
          <t>Pebble Solitaire</t>
        </is>
      </c>
      <c r="B279" s="475">
        <f>HYPERLINK("https://uva.onlinejudge.org/index.php?option=com_onlinejudge&amp;Itemid=8&amp;page=show_problem&amp;problem=1592","UVA 10651")</f>
        <v/>
      </c>
      <c r="C279" s="418" t="n"/>
      <c r="D279" s="418" t="n"/>
      <c r="E279" s="418" t="n"/>
      <c r="F279" s="418" t="n"/>
      <c r="G279" s="418" t="n"/>
      <c r="H279" s="418" t="n"/>
      <c r="I279" s="404">
        <f>SUM(E279:H279)</f>
        <v/>
      </c>
      <c r="J279" s="418" t="n"/>
      <c r="K279" s="418" t="n"/>
      <c r="L279" s="418" t="n"/>
      <c r="M279" s="420" t="n"/>
      <c r="N279" s="488" t="inlineStr">
        <is>
          <t>dp, dp_bitmasks</t>
        </is>
      </c>
      <c r="O279" s="488" t="n">
        <v>13</v>
      </c>
      <c r="P279" s="488" t="n">
        <v>4</v>
      </c>
      <c r="Q279" s="297" t="inlineStr">
        <is>
          <t>p1</t>
        </is>
      </c>
    </row>
    <row r="280" ht="15.75" customHeight="1" s="279">
      <c r="A280" s="420" t="n"/>
      <c r="B280" s="420" t="inlineStr">
        <is>
          <t>UVA 11825</t>
        </is>
      </c>
      <c r="C280" s="418" t="n"/>
      <c r="D280" s="418" t="n"/>
      <c r="E280" s="418" t="n"/>
      <c r="F280" s="418" t="n"/>
      <c r="G280" s="418" t="n"/>
      <c r="H280" s="418" t="n"/>
      <c r="I280" s="404">
        <f>SUM(E280:H280)</f>
        <v/>
      </c>
      <c r="J280" s="418" t="n"/>
      <c r="K280" s="418" t="n"/>
      <c r="L280" s="418" t="n"/>
      <c r="M280" s="493">
        <f>HYPERLINK("https://github.com/ilyesG/Competitive-Programming/blob/master/UVA/UVA%2011825.cpp","Sol")</f>
        <v/>
      </c>
      <c r="N280" s="488" t="inlineStr">
        <is>
          <t>dp, dp_bitmasks, mask-all-subsets, [direct practice on mask-all-subsets]</t>
        </is>
      </c>
      <c r="O280" s="488" t="n">
        <v>13</v>
      </c>
      <c r="P280" s="488" t="n">
        <v>5</v>
      </c>
      <c r="Q280" s="297" t="inlineStr">
        <is>
          <t>p2</t>
        </is>
      </c>
    </row>
    <row r="281" ht="15.75" customHeight="1" s="279">
      <c r="A281" s="420" t="inlineStr">
        <is>
          <t>Nuts for nuts</t>
        </is>
      </c>
      <c r="B281" s="420" t="inlineStr">
        <is>
          <t>UVA 10944</t>
        </is>
      </c>
      <c r="C281" s="418" t="n"/>
      <c r="D281" s="418" t="n"/>
      <c r="E281" s="418" t="n"/>
      <c r="F281" s="418" t="n"/>
      <c r="G281" s="418" t="n"/>
      <c r="H281" s="418" t="n"/>
      <c r="I281" s="404">
        <f>SUM(E281:H281)</f>
        <v/>
      </c>
      <c r="J281" s="418" t="n"/>
      <c r="K281" s="418" t="n"/>
      <c r="L281" s="512" t="n"/>
      <c r="M281" s="488" t="n"/>
      <c r="N281" s="488" t="inlineStr">
        <is>
          <t>dp, dp_bitmasks, tsp or bfs, impl</t>
        </is>
      </c>
      <c r="O281" s="488" t="n">
        <v>13</v>
      </c>
      <c r="P281" s="488" t="n">
        <v>5</v>
      </c>
    </row>
    <row r="282" ht="14.25" customHeight="1" s="279">
      <c r="A282" s="420" t="inlineStr">
        <is>
          <t>Random Task</t>
        </is>
      </c>
      <c r="B282" s="475">
        <f>HYPERLINK("http://codeforces.com/contest/431/problem/D","CF431-D2-D")</f>
        <v/>
      </c>
      <c r="C282" s="418" t="n"/>
      <c r="D282" s="418" t="n"/>
      <c r="E282" s="418" t="n"/>
      <c r="F282" s="418" t="n"/>
      <c r="G282" s="418" t="n"/>
      <c r="H282" s="418" t="n"/>
      <c r="I282" s="404">
        <f>SUM(E282:H282)</f>
        <v/>
      </c>
      <c r="J282" s="418" t="n"/>
      <c r="K282" s="418" t="n"/>
      <c r="L282" s="418" t="n"/>
      <c r="M282" s="420" t="n"/>
      <c r="N282" s="488" t="inlineStr">
        <is>
          <t>dp, dp_bitmasks, binary search or adhoc</t>
        </is>
      </c>
      <c r="O282" s="488" t="n">
        <v>13</v>
      </c>
      <c r="P282" s="488" t="n">
        <v>5.5</v>
      </c>
      <c r="Q282" s="297" t="inlineStr">
        <is>
          <t>p3</t>
        </is>
      </c>
    </row>
    <row r="283" ht="15.75" customHeight="1" s="279">
      <c r="A283" s="420" t="inlineStr">
        <is>
          <t>Shopping Trip</t>
        </is>
      </c>
      <c r="B283" s="420" t="inlineStr">
        <is>
          <t>UVA 11284</t>
        </is>
      </c>
      <c r="C283" s="418" t="n"/>
      <c r="D283" s="418" t="n"/>
      <c r="E283" s="418" t="n"/>
      <c r="F283" s="418" t="n"/>
      <c r="G283" s="418" t="n"/>
      <c r="H283" s="418" t="n"/>
      <c r="I283" s="404">
        <f>SUM(E283:H283)</f>
        <v/>
      </c>
      <c r="J283" s="418" t="n"/>
      <c r="K283" s="418" t="n"/>
      <c r="L283" s="512" t="n"/>
      <c r="M283" s="493">
        <f>HYPERLINK("https://github.com/SaraElkadi/competitive-programming-/blob/master/UVA/11284.cpp","Sol")</f>
        <v/>
      </c>
      <c r="N283" s="488" t="inlineStr">
        <is>
          <t>dp, dp_bitmasks, floyd</t>
        </is>
      </c>
      <c r="O283" s="488" t="n">
        <v>13</v>
      </c>
      <c r="P283" s="488" t="n">
        <v>6</v>
      </c>
    </row>
    <row r="284" ht="15.75" customHeight="1" s="279">
      <c r="A284" s="420" t="inlineStr">
        <is>
          <t>Gone Fishing</t>
        </is>
      </c>
      <c r="B284" s="475">
        <f>HYPERLINK("https://uva.onlinejudge.org/index.php?option=com_onlinejudge&amp;Itemid=8&amp;page=show_problem&amp;problem=698","UVA 757")</f>
        <v/>
      </c>
      <c r="C284" s="418" t="n"/>
      <c r="D284" s="418" t="n"/>
      <c r="E284" s="418" t="n"/>
      <c r="F284" s="418" t="n"/>
      <c r="G284" s="418" t="n"/>
      <c r="H284" s="418" t="n"/>
      <c r="I284" s="404">
        <f>SUM(E284:H284)</f>
        <v/>
      </c>
      <c r="J284" s="404" t="n"/>
      <c r="K284" s="404" t="n"/>
      <c r="L284" s="418" t="n"/>
      <c r="M284" s="475">
        <f>HYPERLINK("https://github.com/magdy-hasan/competitive-programming/blob/master/uva-/uva%20757%20-%20Gone%20Fishing.cpp","Sol to read")</f>
        <v/>
      </c>
      <c r="N284" s="488" t="inlineStr">
        <is>
          <t>dp, dp_build_output</t>
        </is>
      </c>
      <c r="O284" s="488" t="n">
        <v>15</v>
      </c>
      <c r="P284" s="488" t="n">
        <v>3</v>
      </c>
    </row>
    <row r="285" ht="15.75" customHeight="1" s="279">
      <c r="A285" s="420" t="inlineStr">
        <is>
          <t>Make Palindrome</t>
        </is>
      </c>
      <c r="B285" s="475">
        <f>HYPERLINK("https://uva.onlinejudge.org/index.php?option=com_onlinejudge&amp;Itemid=8&amp;page=show_problem&amp;problem=1394","UVA 10453")</f>
        <v/>
      </c>
      <c r="C285" s="418" t="n"/>
      <c r="D285" s="418" t="n"/>
      <c r="E285" s="418" t="n"/>
      <c r="F285" s="418" t="n"/>
      <c r="G285" s="418" t="n"/>
      <c r="H285" s="418" t="n"/>
      <c r="I285" s="404">
        <f>SUM(E285:H285)</f>
        <v/>
      </c>
      <c r="J285" s="404" t="n"/>
      <c r="K285" s="404" t="n"/>
      <c r="L285" s="418" t="n"/>
      <c r="M285" s="493">
        <f>HYPERLINK("https://github.com/ilyesG/Competitive-Programming/blob/master/UVA/UVA%2010453.cpp","Sol")</f>
        <v/>
      </c>
      <c r="N285" s="488" t="inlineStr">
        <is>
          <t>dp, dp_build_output, [similar to edit distance]</t>
        </is>
      </c>
      <c r="O285" s="488" t="n">
        <v>15</v>
      </c>
      <c r="P285" s="488" t="n">
        <v>3.5</v>
      </c>
      <c r="Q285" s="297" t="inlineStr">
        <is>
          <t>p3</t>
        </is>
      </c>
    </row>
    <row r="286" ht="15.75" customHeight="1" s="279">
      <c r="A286" s="420" t="inlineStr">
        <is>
          <t>Fast Food</t>
        </is>
      </c>
      <c r="B286" s="475">
        <f>HYPERLINK("https://uva.onlinejudge.org/index.php?option=com_onlinejudge&amp;Itemid=8&amp;page=show_problem&amp;problem=603","UVA 662")</f>
        <v/>
      </c>
      <c r="C286" s="418" t="n"/>
      <c r="D286" s="418" t="n"/>
      <c r="E286" s="418" t="n"/>
      <c r="F286" s="418" t="n"/>
      <c r="G286" s="418" t="n"/>
      <c r="H286" s="418" t="n"/>
      <c r="I286" s="404">
        <f>SUM(E286:H286)</f>
        <v/>
      </c>
      <c r="J286" s="404" t="n"/>
      <c r="K286" s="404" t="n"/>
      <c r="L286" s="418" t="n"/>
      <c r="M286" s="420" t="n"/>
      <c r="N286" s="488" t="inlineStr">
        <is>
          <t>dp, dp_build_output</t>
        </is>
      </c>
      <c r="O286" s="488" t="n">
        <v>15</v>
      </c>
      <c r="P286" s="488" t="n">
        <v>4.5</v>
      </c>
      <c r="Q286" s="297" t="inlineStr">
        <is>
          <t>p2</t>
        </is>
      </c>
    </row>
    <row r="287" ht="15.75" customHeight="1" s="279">
      <c r="A287" s="420" t="inlineStr">
        <is>
          <t>Palindromic Subsequence</t>
        </is>
      </c>
      <c r="B287" s="475">
        <f>HYPERLINK("https://uva.onlinejudge.org/index.php?option=onlinejudge&amp;page=show_problem&amp;problem=2399","UVA 11404")</f>
        <v/>
      </c>
      <c r="C287" s="418" t="n"/>
      <c r="D287" s="418" t="n"/>
      <c r="E287" s="418" t="n"/>
      <c r="F287" s="418" t="n"/>
      <c r="G287" s="418" t="n"/>
      <c r="H287" s="418" t="n"/>
      <c r="I287" s="404">
        <f>SUM(E287:H287)</f>
        <v/>
      </c>
      <c r="J287" s="404" t="n"/>
      <c r="K287" s="404" t="n"/>
      <c r="L287" s="418" t="n"/>
      <c r="M287" s="420" t="n"/>
      <c r="N287" s="488" t="inlineStr">
        <is>
          <t>dp, dp_build_output</t>
        </is>
      </c>
      <c r="O287" s="488" t="n">
        <v>15</v>
      </c>
      <c r="P287" s="488" t="n">
        <v>4.5</v>
      </c>
    </row>
    <row r="288" ht="15.75" customHeight="1" s="279">
      <c r="A288" s="420" t="inlineStr">
        <is>
          <t>Unidirectional TSP</t>
        </is>
      </c>
      <c r="B288" s="475">
        <f>HYPERLINK("https://uva.onlinejudge.org/index.php?option=com_onlinejudge&amp;Itemid=8&amp;page=show_problem&amp;problem=52","UVA 116")</f>
        <v/>
      </c>
      <c r="C288" s="418" t="n"/>
      <c r="D288" s="418" t="n"/>
      <c r="E288" s="418" t="n"/>
      <c r="F288" s="418" t="n"/>
      <c r="G288" s="418" t="n"/>
      <c r="H288" s="418" t="n"/>
      <c r="I288" s="404">
        <f>SUM(E288:H288)</f>
        <v/>
      </c>
      <c r="J288" s="404" t="n"/>
      <c r="K288" s="404" t="n"/>
      <c r="L288" s="418" t="n"/>
      <c r="M288" s="420" t="n"/>
      <c r="N288" s="488" t="inlineStr">
        <is>
          <t>dp, dp_build_output</t>
        </is>
      </c>
      <c r="O288" s="488" t="n">
        <v>15</v>
      </c>
      <c r="P288" s="488" t="n">
        <v>4.5</v>
      </c>
    </row>
    <row r="289" ht="15.75" customHeight="1" s="279">
      <c r="A289" s="420" t="inlineStr">
        <is>
          <t>Changing a String</t>
        </is>
      </c>
      <c r="B289" s="475">
        <f>HYPERLINK("http://codeforces.com/contest/56/problem/D","CF56-D2-D")</f>
        <v/>
      </c>
      <c r="C289" s="418" t="n"/>
      <c r="D289" s="418" t="n"/>
      <c r="E289" s="418" t="n"/>
      <c r="F289" s="418" t="n"/>
      <c r="G289" s="418" t="n"/>
      <c r="H289" s="418" t="n"/>
      <c r="I289" s="404">
        <f>SUM(E289:H289)</f>
        <v/>
      </c>
      <c r="J289" s="418" t="n"/>
      <c r="K289" s="418" t="n"/>
      <c r="L289" s="418" t="n"/>
      <c r="M289" s="420" t="n"/>
      <c r="N289" s="488" t="inlineStr">
        <is>
          <t>dp, dp_build_output, [edit distance]</t>
        </is>
      </c>
      <c r="O289" s="488" t="n">
        <v>15</v>
      </c>
      <c r="P289" s="488" t="n">
        <v>4.5</v>
      </c>
    </row>
    <row r="290" ht="15.75" customHeight="1" s="279">
      <c r="A290" s="420" t="inlineStr">
        <is>
          <t>Caesar's Legions</t>
        </is>
      </c>
      <c r="B290" s="475">
        <f>HYPERLINK("http://codeforces.com/contest/118/problem/D","CF118-D2-D")</f>
        <v/>
      </c>
      <c r="C290" s="418" t="n"/>
      <c r="D290" s="418" t="n"/>
      <c r="E290" s="418" t="n"/>
      <c r="F290" s="418" t="n"/>
      <c r="G290" s="418" t="n"/>
      <c r="H290" s="418" t="n"/>
      <c r="I290" s="404">
        <f>SUM(E290:H290)</f>
        <v/>
      </c>
      <c r="J290" s="404" t="n"/>
      <c r="K290" s="404" t="n"/>
      <c r="L290" s="418" t="n"/>
      <c r="M290" s="315" t="n"/>
      <c r="N290" s="488" t="inlineStr">
        <is>
          <t>dp, dp_counting</t>
        </is>
      </c>
      <c r="O290" s="488" t="n">
        <v>18</v>
      </c>
      <c r="P290" s="488" t="n">
        <v>3</v>
      </c>
    </row>
    <row r="291" ht="15.75" customHeight="1" s="279">
      <c r="A291" s="475">
        <f>HYPERLINK("https://community.topcoder.com/stat?c=problem_statement&amp;pm=4471&amp;rd=10711","UnsealTheSafe")</f>
        <v/>
      </c>
      <c r="B291" s="420" t="inlineStr">
        <is>
          <t>SRM354-D2-1000</t>
        </is>
      </c>
      <c r="C291" s="418" t="n"/>
      <c r="D291" s="418" t="n"/>
      <c r="E291" s="418" t="n"/>
      <c r="F291" s="418" t="n"/>
      <c r="G291" s="418" t="n"/>
      <c r="H291" s="418" t="n"/>
      <c r="I291" s="404">
        <f>SUM(E291:H291)</f>
        <v/>
      </c>
      <c r="J291" s="404" t="n"/>
      <c r="K291" s="404" t="n"/>
      <c r="L291" s="418" t="n"/>
      <c r="M291" s="315" t="n"/>
      <c r="N291" s="488" t="inlineStr">
        <is>
          <t>dp, dp_counting</t>
        </is>
      </c>
      <c r="O291" s="488" t="n">
        <v>18</v>
      </c>
      <c r="P291" s="488" t="n">
        <v>3</v>
      </c>
    </row>
    <row r="292" ht="15.75" customHeight="1" s="279">
      <c r="A292" s="420" t="inlineStr">
        <is>
          <t>k-Tree</t>
        </is>
      </c>
      <c r="B292" s="475">
        <f>HYPERLINK("http://codeforces.com/contest/431/problem/C","CF431-D2-C")</f>
        <v/>
      </c>
      <c r="C292" s="418" t="n"/>
      <c r="D292" s="418" t="n"/>
      <c r="E292" s="418" t="n"/>
      <c r="F292" s="418" t="n"/>
      <c r="G292" s="418" t="n"/>
      <c r="H292" s="418" t="n"/>
      <c r="I292" s="404">
        <f>SUM(E292:H292)</f>
        <v/>
      </c>
      <c r="J292" s="404" t="n"/>
      <c r="K292" s="404" t="n"/>
      <c r="L292" s="418" t="n"/>
      <c r="M292" s="475">
        <f>HYPERLINK("https://www.youtube.com/watch?v=M7UEOmsCxuQ","Video Solution - Solver to be (Java)")</f>
        <v/>
      </c>
      <c r="N292" s="488" t="inlineStr">
        <is>
          <t>dp, dp_counting, dp_trees</t>
        </is>
      </c>
      <c r="O292" s="488" t="n">
        <v>18</v>
      </c>
      <c r="P292" s="488" t="n">
        <v>3.5</v>
      </c>
    </row>
    <row r="293" ht="15.75" customHeight="1" s="279">
      <c r="A293" s="475">
        <f>HYPERLINK("https://community.topcoder.com/stat?c=problem_statement&amp;pm=7601&amp;rd=10673","DiceGames")</f>
        <v/>
      </c>
      <c r="B293" s="420" t="inlineStr">
        <is>
          <t>SRM349-D1-500</t>
        </is>
      </c>
      <c r="C293" s="418" t="n"/>
      <c r="D293" s="418" t="n"/>
      <c r="E293" s="418" t="n"/>
      <c r="F293" s="418" t="n"/>
      <c r="G293" s="418" t="n"/>
      <c r="H293" s="418" t="n"/>
      <c r="I293" s="404">
        <f>SUM(E293:H293)</f>
        <v/>
      </c>
      <c r="J293" s="418" t="n"/>
      <c r="K293" s="418" t="n"/>
      <c r="L293" s="418" t="n"/>
      <c r="M293" s="420" t="n"/>
      <c r="N293" s="488" t="inlineStr">
        <is>
          <t>dp, dp_counting</t>
        </is>
      </c>
      <c r="O293" s="488" t="n">
        <v>18</v>
      </c>
      <c r="P293" s="488" t="n">
        <v>4</v>
      </c>
      <c r="Q293" s="297" t="inlineStr">
        <is>
          <t>p2</t>
        </is>
      </c>
    </row>
    <row r="294" ht="15.75" customHeight="1" s="279">
      <c r="A294" s="420" t="inlineStr">
        <is>
          <t>Flowers</t>
        </is>
      </c>
      <c r="B294" s="475">
        <f>HYPERLINK("http://codeforces.com/contest/474/problem/D","CF474-D2-D")</f>
        <v/>
      </c>
      <c r="C294" s="418" t="n"/>
      <c r="D294" s="418" t="n"/>
      <c r="E294" s="418" t="n"/>
      <c r="F294" s="418" t="n"/>
      <c r="G294" s="418" t="n"/>
      <c r="H294" s="418" t="n"/>
      <c r="I294" s="404">
        <f>SUM(E294:H294)</f>
        <v/>
      </c>
      <c r="J294" s="418" t="n"/>
      <c r="K294" s="418" t="n"/>
      <c r="L294" s="418" t="n"/>
      <c r="M294" s="421">
        <f>HYPERLINK("https://www.youtube.com/watch?v=uRCruqJOQXw","Video Solution - Solver to be (Java)")</f>
        <v/>
      </c>
      <c r="N294" s="488" t="inlineStr">
        <is>
          <t>dp, dp_counting</t>
        </is>
      </c>
      <c r="O294" s="488" t="n">
        <v>18</v>
      </c>
      <c r="P294" s="488" t="n">
        <v>4.5</v>
      </c>
      <c r="Q294" s="297" t="inlineStr">
        <is>
          <t>p2</t>
        </is>
      </c>
    </row>
    <row r="295" ht="15.75" customHeight="1" s="279">
      <c r="A295" s="420" t="n"/>
      <c r="B295" s="420" t="inlineStr">
        <is>
          <t>SRM428-D2-1000</t>
        </is>
      </c>
      <c r="C295" s="418" t="n"/>
      <c r="D295" s="418" t="n"/>
      <c r="E295" s="418" t="n"/>
      <c r="F295" s="418" t="n"/>
      <c r="G295" s="418" t="n"/>
      <c r="H295" s="418" t="n"/>
      <c r="I295" s="404">
        <f>SUM(E295:H295)</f>
        <v/>
      </c>
      <c r="J295" s="404" t="n"/>
      <c r="K295" s="404" t="n"/>
      <c r="L295" s="418" t="n"/>
      <c r="M295" s="420" t="n"/>
      <c r="N295" s="488" t="inlineStr">
        <is>
          <t>dp, dp_counting or perm, adhoc</t>
        </is>
      </c>
      <c r="O295" s="488" t="n">
        <v>18</v>
      </c>
      <c r="P295" s="488" t="n">
        <v>5</v>
      </c>
      <c r="Q295" s="297" t="inlineStr">
        <is>
          <t>p2</t>
        </is>
      </c>
    </row>
    <row r="296" ht="15.75" customHeight="1" s="279">
      <c r="A296" s="420" t="n"/>
      <c r="B296" s="420" t="inlineStr">
        <is>
          <t>SRM144-D1-500</t>
        </is>
      </c>
      <c r="C296" s="418" t="n"/>
      <c r="D296" s="418" t="n"/>
      <c r="E296" s="418" t="n"/>
      <c r="F296" s="418" t="n"/>
      <c r="G296" s="418" t="n"/>
      <c r="H296" s="418" t="n"/>
      <c r="I296" s="404">
        <f>SUM(E296:H296)</f>
        <v/>
      </c>
      <c r="J296" s="418" t="n"/>
      <c r="K296" s="418" t="n"/>
      <c r="L296" s="418" t="n"/>
      <c r="M296" s="420" t="n"/>
      <c r="N296" s="488" t="inlineStr">
        <is>
          <t>dp, dp_counting or math, combinatorics</t>
        </is>
      </c>
      <c r="O296" s="488" t="n">
        <v>18</v>
      </c>
      <c r="P296" s="488" t="n">
        <v>5</v>
      </c>
    </row>
    <row r="297" ht="15.75" customHeight="1" s="279">
      <c r="A297" s="420" t="n"/>
      <c r="B297" s="420" t="inlineStr">
        <is>
          <t>SRM514-D1-500</t>
        </is>
      </c>
      <c r="C297" s="418" t="n"/>
      <c r="D297" s="418" t="n"/>
      <c r="E297" s="418" t="n"/>
      <c r="F297" s="418" t="n"/>
      <c r="G297" s="418" t="n"/>
      <c r="H297" s="418" t="n"/>
      <c r="I297" s="404">
        <f>SUM(E297:H297)</f>
        <v/>
      </c>
      <c r="J297" s="418" t="n"/>
      <c r="K297" s="418" t="n"/>
      <c r="L297" s="418" t="n"/>
      <c r="M297" s="488" t="n"/>
      <c r="N297" s="488" t="inlineStr">
        <is>
          <t>dp, dp_counting, dp_bitmasks</t>
        </is>
      </c>
      <c r="O297" s="488" t="n">
        <v>18</v>
      </c>
      <c r="P297" s="488" t="n">
        <v>6.25</v>
      </c>
      <c r="Q297" s="297" t="inlineStr">
        <is>
          <t>p4</t>
        </is>
      </c>
    </row>
    <row r="298" ht="15.75" customHeight="1" s="279">
      <c r="A298" s="420" t="inlineStr">
        <is>
          <t>Little Girl and Maximum XOR</t>
        </is>
      </c>
      <c r="B298" s="475">
        <f>HYPERLINK("http://codeforces.com/contest/276/problem/D","CF276-D2-D")</f>
        <v/>
      </c>
      <c r="C298" s="418" t="n"/>
      <c r="D298" s="418" t="n"/>
      <c r="E298" s="418" t="n"/>
      <c r="F298" s="418" t="n"/>
      <c r="G298" s="418" t="n"/>
      <c r="H298" s="418" t="n"/>
      <c r="I298" s="404">
        <f>SUM(E298:H298)</f>
        <v/>
      </c>
      <c r="J298" s="418" t="n"/>
      <c r="K298" s="418" t="n"/>
      <c r="L298" s="512" t="n"/>
      <c r="M298" s="475">
        <f>HYPERLINK("http://codeforces.com/blog/entry/6779","See editorials")</f>
        <v/>
      </c>
      <c r="N298" s="488" t="inlineStr">
        <is>
          <t>dp, dp_digit or impl</t>
        </is>
      </c>
      <c r="O298" s="488" t="n">
        <v>22</v>
      </c>
      <c r="P298" s="488" t="n">
        <v>4.5</v>
      </c>
      <c r="Q298" s="297" t="inlineStr">
        <is>
          <t>p1</t>
        </is>
      </c>
    </row>
    <row r="299" ht="15.75" customHeight="1" s="279">
      <c r="A299" s="420" t="inlineStr">
        <is>
          <t>Roman and Numbers</t>
        </is>
      </c>
      <c r="B299" s="475">
        <f>HYPERLINK("http://codeforces.com/contest/401/problem/D","CF401-D2-D")</f>
        <v/>
      </c>
      <c r="C299" s="418" t="n"/>
      <c r="D299" s="418" t="n"/>
      <c r="E299" s="418" t="n"/>
      <c r="F299" s="418" t="n"/>
      <c r="G299" s="418" t="n"/>
      <c r="H299" s="418" t="n"/>
      <c r="I299" s="404">
        <f>SUM(E299:H299)</f>
        <v/>
      </c>
      <c r="J299" s="404" t="n"/>
      <c r="K299" s="404" t="n"/>
      <c r="L299" s="512" t="n"/>
      <c r="M299" s="488" t="n"/>
      <c r="N299" s="488" t="inlineStr">
        <is>
          <t>dp, dp_digit, dp_bitmasks or adhoc</t>
        </is>
      </c>
      <c r="O299" s="488" t="n">
        <v>22</v>
      </c>
      <c r="P299" s="488" t="n">
        <v>5</v>
      </c>
      <c r="Q299" s="297" t="inlineStr">
        <is>
          <t>p3</t>
        </is>
      </c>
    </row>
    <row r="300" ht="15.75" customHeight="1" s="279">
      <c r="A300" s="420" t="inlineStr">
        <is>
          <t>Find Pair</t>
        </is>
      </c>
      <c r="B300" s="475">
        <f>HYPERLINK("http://codeforces.com/contest/160/problem/C","CF160-D2-C")</f>
        <v/>
      </c>
      <c r="C300" s="418" t="n"/>
      <c r="D300" s="418" t="n"/>
      <c r="E300" s="418" t="n"/>
      <c r="F300" s="418" t="n"/>
      <c r="G300" s="418" t="n"/>
      <c r="H300" s="418" t="n"/>
      <c r="I300" s="404">
        <f>SUM(E300:H300)</f>
        <v/>
      </c>
      <c r="J300" s="404" t="n"/>
      <c r="K300" s="404" t="n"/>
      <c r="L300" s="418" t="n"/>
      <c r="M300" s="420" t="n"/>
      <c r="N300" s="488" t="inlineStr">
        <is>
          <t>dp, dp_digit or binary search</t>
        </is>
      </c>
      <c r="O300" s="488" t="n">
        <v>22</v>
      </c>
      <c r="P300" s="488" t="n">
        <v>5</v>
      </c>
    </row>
    <row r="301" ht="15.75" customHeight="1" s="279">
      <c r="A301" s="475">
        <f>HYPERLINK("https://community.topcoder.com/stat?c=problem_statement&amp;pm=3491&amp;rd=6517","BagsOfGold")</f>
        <v/>
      </c>
      <c r="B301" s="420" t="inlineStr">
        <is>
          <t>SRM228-D1-500</t>
        </is>
      </c>
      <c r="C301" s="418" t="n"/>
      <c r="D301" s="418" t="n"/>
      <c r="E301" s="418" t="n"/>
      <c r="F301" s="418" t="n"/>
      <c r="G301" s="418" t="n"/>
      <c r="H301" s="418" t="n"/>
      <c r="I301" s="404">
        <f>SUM(E301:H301)</f>
        <v/>
      </c>
      <c r="J301" s="404" t="n"/>
      <c r="K301" s="404" t="n"/>
      <c r="L301" s="418" t="n"/>
      <c r="M301" s="420" t="n"/>
      <c r="N301" s="488" t="inlineStr">
        <is>
          <t>dp, dp_games, minimax</t>
        </is>
      </c>
      <c r="O301" s="488" t="n">
        <v>23</v>
      </c>
      <c r="P301" s="488" t="n">
        <v>3</v>
      </c>
      <c r="Q301" s="297" t="inlineStr">
        <is>
          <t>p3</t>
        </is>
      </c>
    </row>
    <row r="302" ht="15.75" customHeight="1" s="279">
      <c r="A302" s="420" t="inlineStr">
        <is>
          <t>Bachet's Game</t>
        </is>
      </c>
      <c r="B302" s="475">
        <f>HYPERLINK("https://uva.onlinejudge.org/index.php?option=com_onlinejudge&amp;Itemid=8&amp;page=show_problem&amp;problem=1345","UVA 10404")</f>
        <v/>
      </c>
      <c r="C302" s="418" t="n"/>
      <c r="D302" s="418" t="n"/>
      <c r="E302" s="418" t="n"/>
      <c r="F302" s="418" t="n"/>
      <c r="G302" s="418" t="n"/>
      <c r="H302" s="418" t="n"/>
      <c r="I302" s="404">
        <f>SUM(E302:H302)</f>
        <v/>
      </c>
      <c r="J302" s="404" t="n"/>
      <c r="K302" s="404" t="n"/>
      <c r="L302" s="418" t="n"/>
      <c r="M302" s="493">
        <f>HYPERLINK("https://github.com/VAMPIER000001/CompetitiveProgramming/blob/58946d0dcba06adfc2c5ec0b423546a6a0c6da9c/UVA/V-104/UVA%2010404.Cpp","Sol")</f>
        <v/>
      </c>
      <c r="N302" s="488" t="inlineStr">
        <is>
          <t>dp, dp_games</t>
        </is>
      </c>
      <c r="O302" s="488" t="n">
        <v>23</v>
      </c>
      <c r="P302" s="488" t="n">
        <v>3</v>
      </c>
    </row>
    <row r="303" ht="15.75" customHeight="1" s="279">
      <c r="A303" s="475">
        <f>HYPERLINK("https://community.topcoder.com/stat?c=problem_statement&amp;pm=11566&amp;rd=14547","RowAndCoins")</f>
        <v/>
      </c>
      <c r="B303" s="420" t="inlineStr">
        <is>
          <t>SRM522-D1-250</t>
        </is>
      </c>
      <c r="C303" s="418" t="n"/>
      <c r="D303" s="418" t="n"/>
      <c r="E303" s="418" t="n"/>
      <c r="F303" s="418" t="n"/>
      <c r="G303" s="418" t="n"/>
      <c r="H303" s="418" t="n"/>
      <c r="I303" s="404">
        <f>SUM(E303:H303)</f>
        <v/>
      </c>
      <c r="J303" s="404" t="n"/>
      <c r="K303" s="404" t="n"/>
      <c r="L303" s="418" t="n"/>
      <c r="M303" s="420" t="n"/>
      <c r="N303" s="488" t="inlineStr">
        <is>
          <t>dp, dp_games, dp_bitmasks or adhoc</t>
        </is>
      </c>
      <c r="O303" s="488" t="n">
        <v>23</v>
      </c>
      <c r="P303" s="488" t="n">
        <v>3</v>
      </c>
    </row>
    <row r="304" ht="15.75" customHeight="1" s="279">
      <c r="A304" s="420" t="n"/>
      <c r="B304" s="475">
        <f>HYPERLINK("https://codeforces.com/contest/1033/problem/C","CF1033-D12-C")</f>
        <v/>
      </c>
      <c r="C304" s="418" t="n"/>
      <c r="D304" s="418" t="n"/>
      <c r="E304" s="418" t="n"/>
      <c r="F304" s="418" t="n"/>
      <c r="G304" s="418" t="n"/>
      <c r="H304" s="418" t="n"/>
      <c r="I304" s="404">
        <f>SUM(E304:H304)</f>
        <v/>
      </c>
      <c r="J304" s="418" t="n"/>
      <c r="K304" s="418" t="n"/>
      <c r="L304" s="418" t="n"/>
      <c r="M304" s="420" t="n"/>
      <c r="N304" s="488" t="inlineStr">
        <is>
          <t>dp, dp_games, [harmonic progression]</t>
        </is>
      </c>
      <c r="O304" s="488" t="n">
        <v>23</v>
      </c>
      <c r="P304" s="488" t="n">
        <v>4</v>
      </c>
      <c r="Q304" s="297" t="inlineStr">
        <is>
          <t>p3</t>
        </is>
      </c>
    </row>
    <row r="305" ht="15.75" customHeight="1" s="279">
      <c r="A305" s="475">
        <f>HYPERLINK("https://community.topcoder.com/stat?c=problem_statement&amp;pm=11791&amp;rd=14727","EllysCheckers")</f>
        <v/>
      </c>
      <c r="B305" s="420" t="inlineStr">
        <is>
          <t>SRM534-D1-250</t>
        </is>
      </c>
      <c r="C305" s="418" t="n"/>
      <c r="D305" s="418" t="n"/>
      <c r="E305" s="418" t="n"/>
      <c r="F305" s="418" t="n"/>
      <c r="G305" s="418" t="n"/>
      <c r="H305" s="418" t="n"/>
      <c r="I305" s="404">
        <f>SUM(E305:H305)</f>
        <v/>
      </c>
      <c r="J305" s="404" t="n"/>
      <c r="K305" s="404" t="n"/>
      <c r="L305" s="418" t="n"/>
      <c r="M305" s="420" t="n"/>
      <c r="N305" s="488" t="inlineStr">
        <is>
          <t>dp, dp_games, dp_bitmasks or game theory</t>
        </is>
      </c>
      <c r="O305" s="488" t="n">
        <v>23</v>
      </c>
      <c r="P305" s="488" t="n">
        <v>4</v>
      </c>
    </row>
    <row r="306" ht="15.75" customHeight="1" s="279">
      <c r="A306" s="420" t="inlineStr">
        <is>
          <t>Bag of mice</t>
        </is>
      </c>
      <c r="B306" s="475">
        <f>HYPERLINK("http://codeforces.com/contest/148/problem/D","CF148-D2-D")</f>
        <v/>
      </c>
      <c r="C306" s="418" t="n"/>
      <c r="D306" s="418" t="n"/>
      <c r="E306" s="418" t="n"/>
      <c r="F306" s="418" t="n"/>
      <c r="G306" s="418" t="n"/>
      <c r="H306" s="418" t="n"/>
      <c r="I306" s="404">
        <f>SUM(E306:H306)</f>
        <v/>
      </c>
      <c r="J306" s="418" t="n"/>
      <c r="K306" s="418" t="n"/>
      <c r="L306" s="418" t="n"/>
      <c r="M306" s="420" t="n"/>
      <c r="N306" s="488" t="inlineStr">
        <is>
          <t>dp, dp_games, dp_probability</t>
        </is>
      </c>
      <c r="O306" s="488" t="n">
        <v>23</v>
      </c>
      <c r="P306" s="488" t="n">
        <v>4.5</v>
      </c>
      <c r="Q306" s="297" t="inlineStr">
        <is>
          <t>p2</t>
        </is>
      </c>
    </row>
    <row r="307" ht="15.75" customHeight="1" s="279">
      <c r="A307" s="420" t="inlineStr">
        <is>
          <t>The Game of 31</t>
        </is>
      </c>
      <c r="B307" s="475">
        <f>HYPERLINK("https://uva.onlinejudge.org/index.php?option=com_onlinejudge&amp;Itemid=8&amp;page=show_problem&amp;problem=1519","UVA 10578")</f>
        <v/>
      </c>
      <c r="C307" s="418" t="n"/>
      <c r="D307" s="418" t="n"/>
      <c r="E307" s="418" t="n"/>
      <c r="F307" s="418" t="n"/>
      <c r="G307" s="418" t="n"/>
      <c r="H307" s="418" t="n"/>
      <c r="I307" s="404">
        <f>SUM(E307:H307)</f>
        <v/>
      </c>
      <c r="J307" s="404" t="n"/>
      <c r="K307" s="404" t="n"/>
      <c r="L307" s="512" t="n"/>
      <c r="M307" s="493">
        <f>HYPERLINK("https://github.com/abdullaAshraf/Problem-Solving/blob/master/UVA/10578.cpp","Sol")</f>
        <v/>
      </c>
      <c r="N307" s="488" t="inlineStr">
        <is>
          <t>dp, dp_games</t>
        </is>
      </c>
      <c r="O307" s="488" t="n">
        <v>23</v>
      </c>
      <c r="P307" s="488" t="n">
        <v>4.5</v>
      </c>
    </row>
    <row r="308" ht="15.75" customHeight="1" s="279">
      <c r="A308" s="420" t="inlineStr">
        <is>
          <t>Find the Winning Move</t>
        </is>
      </c>
      <c r="B308" s="475">
        <f>HYPERLINK("https://uva.onlinejudge.org/index.php?option=com_onlinejudge&amp;Itemid=8&amp;page=show_problem&amp;problem=1052","UVA 10111")</f>
        <v/>
      </c>
      <c r="C308" s="418" t="n"/>
      <c r="D308" s="418" t="n"/>
      <c r="E308" s="418" t="n"/>
      <c r="F308" s="418" t="n"/>
      <c r="G308" s="418" t="n"/>
      <c r="H308" s="418" t="n"/>
      <c r="I308" s="404">
        <f>SUM(E308:H308)</f>
        <v/>
      </c>
      <c r="J308" s="404" t="n"/>
      <c r="K308" s="404" t="n"/>
      <c r="L308" s="512" t="n"/>
      <c r="M308" s="493">
        <f>HYPERLINK("https://github.com/mostafa-saad/MyCompetitiveProgramming/blob/master/UVA/UVA_10111.txt","Sol")</f>
        <v/>
      </c>
      <c r="N308" s="488" t="inlineStr">
        <is>
          <t>dp, dp_games or backtrack, minmax (alpah beta)</t>
        </is>
      </c>
      <c r="O308" s="488" t="n">
        <v>23</v>
      </c>
      <c r="P308" s="488" t="n">
        <v>5.5</v>
      </c>
      <c r="Q308" s="297" t="inlineStr">
        <is>
          <t>p3</t>
        </is>
      </c>
    </row>
    <row r="309" ht="15.75" customHeight="1" s="279">
      <c r="A309" s="420" t="inlineStr">
        <is>
          <t>Tennis contest</t>
        </is>
      </c>
      <c r="B309" s="475">
        <f>HYPERLINK("https://uva.onlinejudge.org/index.php?option=com_onlinejudge&amp;Itemid=8&amp;page=show_problem&amp;problem=3888","UVA 12457")</f>
        <v/>
      </c>
      <c r="C309" s="418" t="n"/>
      <c r="D309" s="418" t="n"/>
      <c r="E309" s="418" t="n"/>
      <c r="F309" s="418" t="n"/>
      <c r="G309" s="418" t="n"/>
      <c r="H309" s="418" t="n"/>
      <c r="I309" s="404">
        <f>SUM(E309:H309)</f>
        <v/>
      </c>
      <c r="J309" s="418" t="n"/>
      <c r="K309" s="418" t="n"/>
      <c r="L309" s="512" t="n"/>
      <c r="M309" s="493">
        <f>HYPERLINK("https://github.com/3agwa/CompetitiveProgramming/blob/master/UVA/UVA%2012457","Sol")</f>
        <v/>
      </c>
      <c r="N309" s="488" t="inlineStr">
        <is>
          <t>dp, dp_probability or probability</t>
        </is>
      </c>
      <c r="O309" s="488" t="n">
        <v>29</v>
      </c>
      <c r="P309" s="488" t="n">
        <v>3.5</v>
      </c>
    </row>
    <row r="310" ht="15.75" customHeight="1" s="279">
      <c r="A310" s="420" t="inlineStr">
        <is>
          <t>First Digit Law</t>
        </is>
      </c>
      <c r="B310" s="475">
        <f>HYPERLINK("http://codeforces.com/contest/54/problem/C","CF54-D12-C")</f>
        <v/>
      </c>
      <c r="C310" s="418" t="n"/>
      <c r="D310" s="418" t="n"/>
      <c r="E310" s="418" t="n"/>
      <c r="F310" s="418" t="n"/>
      <c r="G310" s="418" t="n"/>
      <c r="H310" s="418" t="n"/>
      <c r="I310" s="404">
        <f>SUM(E310:H310)</f>
        <v/>
      </c>
      <c r="J310" s="418" t="n"/>
      <c r="K310" s="418" t="n"/>
      <c r="L310" s="418" t="n"/>
      <c r="M310" s="488" t="n"/>
      <c r="N310" s="488" t="inlineStr">
        <is>
          <t>dp, dp_probability</t>
        </is>
      </c>
      <c r="O310" s="488" t="n">
        <v>29</v>
      </c>
      <c r="P310" s="488" t="n">
        <v>4</v>
      </c>
      <c r="Q310" s="297" t="inlineStr">
        <is>
          <t>p2</t>
        </is>
      </c>
    </row>
    <row r="311" ht="15.75" customHeight="1" s="279">
      <c r="A311" s="420" t="inlineStr">
        <is>
          <t>France '98</t>
        </is>
      </c>
      <c r="B311" s="475">
        <f>HYPERLINK("https://uva.onlinejudge.org/index.php?option=onlinejudge&amp;page=show_problem&amp;problem=483","UVA 542")</f>
        <v/>
      </c>
      <c r="C311" s="418" t="n"/>
      <c r="D311" s="418" t="n"/>
      <c r="E311" s="418" t="n"/>
      <c r="F311" s="418" t="n"/>
      <c r="G311" s="418" t="n"/>
      <c r="H311" s="418" t="n"/>
      <c r="I311" s="404">
        <f>SUM(E311:H311)</f>
        <v/>
      </c>
      <c r="J311" s="418" t="n"/>
      <c r="K311" s="418" t="n"/>
      <c r="L311" s="512" t="n"/>
      <c r="M311" s="493">
        <f>HYPERLINK("https://github.com/mostafa-saad/MyCompetitiveProgramming/blob/master/UVA/UVA_542.txt","Sol")</f>
        <v/>
      </c>
      <c r="N311" s="488" t="inlineStr">
        <is>
          <t>dp, dp_probability, [=pku 3071]</t>
        </is>
      </c>
      <c r="O311" s="488" t="n">
        <v>29</v>
      </c>
      <c r="P311" s="488" t="n">
        <v>4.5</v>
      </c>
      <c r="Q311" s="297" t="inlineStr">
        <is>
          <t>p3</t>
        </is>
      </c>
    </row>
    <row r="312" ht="15.75" customHeight="1" s="279">
      <c r="A312" s="420" t="inlineStr">
        <is>
          <t>Bad Luck Island</t>
        </is>
      </c>
      <c r="B312" s="475">
        <f>HYPERLINK("http://codeforces.com/contest/540/problem/D","CF540-D2-D")</f>
        <v/>
      </c>
      <c r="C312" s="418" t="n"/>
      <c r="D312" s="418" t="n"/>
      <c r="E312" s="418" t="n"/>
      <c r="F312" s="418" t="n"/>
      <c r="G312" s="418" t="n"/>
      <c r="H312" s="418" t="n"/>
      <c r="I312" s="404">
        <f>SUM(E312:H312)</f>
        <v/>
      </c>
      <c r="J312" s="418" t="n"/>
      <c r="K312" s="418" t="n"/>
      <c r="L312" s="418" t="n"/>
      <c r="M312" s="420" t="n"/>
      <c r="N312" s="488" t="inlineStr">
        <is>
          <t>dp, dp_probability</t>
        </is>
      </c>
      <c r="O312" s="488" t="n">
        <v>29</v>
      </c>
      <c r="P312" s="488" t="n">
        <v>4.5</v>
      </c>
      <c r="Q312" s="297" t="inlineStr">
        <is>
          <t>p2</t>
        </is>
      </c>
    </row>
    <row r="313" ht="15.75" customHeight="1" s="279">
      <c r="A313" s="475">
        <f>HYPERLINK("https://community.topcoder.com/stat?c=problem_statement&amp;pm=7422&amp;rd=10663","TestBettingStrategy")</f>
        <v/>
      </c>
      <c r="B313" s="420" t="inlineStr">
        <is>
          <t>SRM339-D1-500</t>
        </is>
      </c>
      <c r="C313" s="418" t="n"/>
      <c r="D313" s="418" t="n"/>
      <c r="E313" s="418" t="n"/>
      <c r="F313" s="418" t="n"/>
      <c r="G313" s="418" t="n"/>
      <c r="H313" s="418" t="n"/>
      <c r="I313" s="404">
        <f>SUM(E313:H313)</f>
        <v/>
      </c>
      <c r="J313" s="418" t="n"/>
      <c r="K313" s="418" t="n"/>
      <c r="L313" s="418" t="n"/>
      <c r="M313" s="488" t="n"/>
      <c r="N313" s="488" t="inlineStr">
        <is>
          <t>dp, dp_probability</t>
        </is>
      </c>
      <c r="O313" s="488" t="n">
        <v>29</v>
      </c>
      <c r="P313" s="488" t="n">
        <v>4.5</v>
      </c>
      <c r="Q313" s="297" t="inlineStr">
        <is>
          <t>p2</t>
        </is>
      </c>
    </row>
    <row r="314" ht="15.75" customHeight="1" s="279">
      <c r="A314" s="420" t="inlineStr">
        <is>
          <t>Dice Throwing</t>
        </is>
      </c>
      <c r="B314" s="475">
        <f>HYPERLINK("https://uva.onlinejudge.org/index.php?option=com_onlinejudge&amp;Itemid=8&amp;page=show_problem&amp;problem=1700","UVA 10759")</f>
        <v/>
      </c>
      <c r="C314" s="418" t="n"/>
      <c r="D314" s="418" t="n"/>
      <c r="E314" s="418" t="n"/>
      <c r="F314" s="418" t="n"/>
      <c r="G314" s="418" t="n"/>
      <c r="H314" s="418" t="n"/>
      <c r="I314" s="404">
        <f>SUM(E314:H314)</f>
        <v/>
      </c>
      <c r="J314" s="418" t="n"/>
      <c r="K314" s="418" t="n"/>
      <c r="L314" s="418" t="n"/>
      <c r="M314" s="493">
        <f>HYPERLINK("https://github.com/VAMPIER000001/CompetitiveProgramming/blob/master/UVA/V-107/UVa%2010759.cpp","Sol")</f>
        <v/>
      </c>
      <c r="N314" s="488" t="inlineStr">
        <is>
          <t>dp, dp_probability, counting style</t>
        </is>
      </c>
      <c r="O314" s="488" t="n">
        <v>29</v>
      </c>
      <c r="P314" s="488" t="n">
        <v>4.5</v>
      </c>
      <c r="Q314" s="297" t="inlineStr">
        <is>
          <t>p2</t>
        </is>
      </c>
    </row>
    <row r="315" ht="15.75" customHeight="1" s="279">
      <c r="A315" s="420" t="inlineStr">
        <is>
          <t>Wizards and Huge Prize</t>
        </is>
      </c>
      <c r="B315" s="475">
        <f>HYPERLINK("http://codeforces.com/contest/168/problem/D","CF168-D2-D")</f>
        <v/>
      </c>
      <c r="C315" s="418" t="n"/>
      <c r="D315" s="418" t="n"/>
      <c r="E315" s="418" t="n"/>
      <c r="F315" s="418" t="n"/>
      <c r="G315" s="418" t="n"/>
      <c r="H315" s="418" t="n"/>
      <c r="I315" s="404">
        <f>SUM(E315:H315)</f>
        <v/>
      </c>
      <c r="J315" s="404" t="n"/>
      <c r="K315" s="404" t="n"/>
      <c r="L315" s="512" t="n"/>
      <c r="M315" s="420" t="n"/>
      <c r="N315" s="488" t="inlineStr">
        <is>
          <t>dp, dp_probability</t>
        </is>
      </c>
      <c r="O315" s="488" t="n">
        <v>29</v>
      </c>
      <c r="P315" s="488" t="n">
        <v>4.5</v>
      </c>
    </row>
    <row r="316" ht="15.75" customHeight="1" s="279">
      <c r="A316" s="420" t="n"/>
      <c r="B316" s="475">
        <f>HYPERLINK("http://codeforces.com/contest/28/problem/C","CF28-D12-C")</f>
        <v/>
      </c>
      <c r="C316" s="418" t="n"/>
      <c r="D316" s="418" t="n"/>
      <c r="E316" s="418" t="n"/>
      <c r="F316" s="418" t="n"/>
      <c r="G316" s="418" t="n"/>
      <c r="H316" s="418" t="n"/>
      <c r="I316" s="404">
        <f>SUM(E316:H316)</f>
        <v/>
      </c>
      <c r="J316" s="404" t="n"/>
      <c r="K316" s="404" t="n"/>
      <c r="L316" s="512" t="n"/>
      <c r="M316" s="488" t="n"/>
      <c r="N316" s="488" t="inlineStr">
        <is>
          <t>dp, dp_probability, combinatorics or adhoc</t>
        </is>
      </c>
      <c r="O316" s="488" t="n">
        <v>29</v>
      </c>
      <c r="P316" s="488" t="n">
        <v>5</v>
      </c>
      <c r="Q316" s="297" t="inlineStr">
        <is>
          <t>p3</t>
        </is>
      </c>
    </row>
    <row r="317" ht="15.75" customHeight="1" s="279">
      <c r="A317" s="420" t="inlineStr">
        <is>
          <t>Check the difficulty of problems</t>
        </is>
      </c>
      <c r="B317" s="475">
        <f>HYPERLINK("http://poj.org/problem?id=2151","PKU 2151")</f>
        <v/>
      </c>
      <c r="C317" s="418" t="n"/>
      <c r="D317" s="418" t="n"/>
      <c r="E317" s="418" t="n"/>
      <c r="F317" s="418" t="n"/>
      <c r="G317" s="418" t="n"/>
      <c r="H317" s="418" t="n"/>
      <c r="I317" s="404">
        <f>SUM(E317:H317)</f>
        <v/>
      </c>
      <c r="J317" s="418" t="n"/>
      <c r="K317" s="418" t="n"/>
      <c r="L317" s="512" t="n"/>
      <c r="M317" s="493">
        <f>HYPERLINK("https://github.com/mostafa-saad/MyCompetitiveProgramming/blob/master/PKU/PKU_2151.txt","Sol")</f>
        <v/>
      </c>
      <c r="N317" s="488" t="inlineStr">
        <is>
          <t>dp, dp_probability</t>
        </is>
      </c>
      <c r="O317" s="488" t="n">
        <v>29</v>
      </c>
      <c r="P317" s="488" t="n">
        <v>5</v>
      </c>
      <c r="Q317" s="297" t="inlineStr">
        <is>
          <t>p3</t>
        </is>
      </c>
    </row>
    <row r="318" ht="15.75" customHeight="1" s="279">
      <c r="A318" s="420" t="n"/>
      <c r="B318" s="475">
        <f>HYPERLINK("http://codeforces.com/contest/16/problem/E","CF16-D2-E")</f>
        <v/>
      </c>
      <c r="C318" s="418" t="n"/>
      <c r="D318" s="418" t="n"/>
      <c r="E318" s="418" t="n"/>
      <c r="F318" s="418" t="n"/>
      <c r="G318" s="418" t="n"/>
      <c r="H318" s="418" t="n"/>
      <c r="I318" s="404">
        <f>SUM(E318:H318)</f>
        <v/>
      </c>
      <c r="J318" s="418" t="n"/>
      <c r="K318" s="418" t="n"/>
      <c r="L318" s="418" t="n"/>
      <c r="M318" s="420" t="n"/>
      <c r="N318" s="488" t="inlineStr">
        <is>
          <t>dp, dp_probability, dp_table, masks</t>
        </is>
      </c>
      <c r="O318" s="488" t="n">
        <v>29</v>
      </c>
      <c r="P318" s="488" t="n">
        <v>5</v>
      </c>
      <c r="Q318" s="297" t="inlineStr">
        <is>
          <t>p3</t>
        </is>
      </c>
    </row>
    <row r="319" ht="15.75" customHeight="1" s="279">
      <c r="A319" s="420" t="inlineStr">
        <is>
          <t>Let’s Dance</t>
        </is>
      </c>
      <c r="B319" s="475">
        <f>HYPERLINK("https://uva.onlinejudge.org/index.php?option=com_onlinejudge&amp;Itemid=8&amp;page=show_problem&amp;problem=1159","UVA 10218")</f>
        <v/>
      </c>
      <c r="C319" s="418" t="n"/>
      <c r="D319" s="418" t="n"/>
      <c r="E319" s="418" t="n"/>
      <c r="F319" s="418" t="n"/>
      <c r="G319" s="418" t="n"/>
      <c r="H319" s="418" t="n"/>
      <c r="I319" s="404">
        <f>SUM(E319:H319)</f>
        <v/>
      </c>
      <c r="J319" s="404" t="n"/>
      <c r="K319" s="404" t="n"/>
      <c r="L319" s="418" t="n"/>
      <c r="M319" s="493">
        <f>HYPERLINK("https://github.com/mostafa-saad/MyCompetitiveProgramming/blob/master/UVA/UVA_10218.txt","Sol")</f>
        <v/>
      </c>
      <c r="N319" s="488" t="inlineStr">
        <is>
          <t>dp, dp_probability or combinatorics</t>
        </is>
      </c>
      <c r="O319" s="488" t="n">
        <v>29</v>
      </c>
      <c r="P319" s="488" t="n">
        <v>5</v>
      </c>
      <c r="Q319" s="297" t="inlineStr">
        <is>
          <t>p1</t>
        </is>
      </c>
    </row>
    <row r="320" ht="15.75" customHeight="1" s="279">
      <c r="A320" s="420" t="inlineStr">
        <is>
          <t>Tribbles</t>
        </is>
      </c>
      <c r="B320" s="475">
        <f>HYPERLINK("https://uva.onlinejudge.org/index.php?option=com_onlinejudge&amp;Itemid=8&amp;page=show_problem&amp;problem=1962","UVA 11021")</f>
        <v/>
      </c>
      <c r="C320" s="418" t="n"/>
      <c r="D320" s="418" t="n"/>
      <c r="E320" s="418" t="n"/>
      <c r="F320" s="418" t="n"/>
      <c r="G320" s="418" t="n"/>
      <c r="H320" s="418" t="n"/>
      <c r="I320" s="404">
        <f>SUM(E320:H320)</f>
        <v/>
      </c>
      <c r="J320" s="418" t="n"/>
      <c r="K320" s="418" t="n"/>
      <c r="L320" s="418" t="n"/>
      <c r="M320" s="493">
        <f>HYPERLINK("https://github.com/VAMPIER000001/CompetitiveProgramming/blob/master/UVA/V-110/UVA%2011021.cpp","Sol")</f>
        <v/>
      </c>
      <c r="N320" s="488" t="inlineStr">
        <is>
          <t>dp, dp_probability, dp_table, [independece property, prove correctness?]</t>
        </is>
      </c>
      <c r="O320" s="488" t="n">
        <v>29</v>
      </c>
      <c r="P320" s="488" t="n">
        <v>5.5</v>
      </c>
      <c r="Q320" s="297" t="inlineStr">
        <is>
          <t>p3</t>
        </is>
      </c>
    </row>
    <row r="321" ht="15.75" customHeight="1" s="279">
      <c r="A321" s="420" t="inlineStr">
        <is>
          <t>Collecting Bugs</t>
        </is>
      </c>
      <c r="B321" s="475">
        <f>HYPERLINK("http://poj.org/problem?id=2096","PKU 2096")</f>
        <v/>
      </c>
      <c r="C321" s="418" t="n"/>
      <c r="D321" s="418" t="n"/>
      <c r="E321" s="418" t="n"/>
      <c r="F321" s="418" t="n"/>
      <c r="G321" s="418" t="n"/>
      <c r="H321" s="418" t="n"/>
      <c r="I321" s="404">
        <f>SUM(E321:H321)</f>
        <v/>
      </c>
      <c r="J321" s="418" t="n"/>
      <c r="K321" s="418" t="n"/>
      <c r="L321" s="512" t="n"/>
      <c r="M321" s="493">
        <f>HYPERLINK("https://github.com/MichaelMounir12/CompetitiveProgramming/blob/478ef4641bab747e4fd63fffdff7d55287242921/PKU/PKU_2096.cpp","Sol")</f>
        <v/>
      </c>
      <c r="N321" s="488" t="inlineStr">
        <is>
          <t>dp, dp_probability or math, [hard text for few]</t>
        </is>
      </c>
      <c r="O321" s="488" t="n">
        <v>29</v>
      </c>
      <c r="P321" s="488" t="n">
        <v>5.5</v>
      </c>
      <c r="Q321" s="297" t="inlineStr">
        <is>
          <t>p2</t>
        </is>
      </c>
    </row>
    <row r="322" ht="15.75" customHeight="1" s="279">
      <c r="A322" s="420" t="inlineStr">
        <is>
          <t>Winning Streak</t>
        </is>
      </c>
      <c r="B322" s="475">
        <f>HYPERLINK("https://uva.onlinejudge.org/index.php?option=com_onlinejudge&amp;Itemid=8&amp;page=show_problem&amp;problem=2117","UVA 11176")</f>
        <v/>
      </c>
      <c r="C322" s="418" t="n"/>
      <c r="D322" s="418" t="n"/>
      <c r="E322" s="418" t="n"/>
      <c r="F322" s="418" t="n"/>
      <c r="G322" s="418" t="n"/>
      <c r="H322" s="418" t="n"/>
      <c r="I322" s="404">
        <f>SUM(E322:H322)</f>
        <v/>
      </c>
      <c r="J322" s="418" t="n"/>
      <c r="K322" s="418" t="n"/>
      <c r="L322" s="512" t="n"/>
      <c r="M322" s="493">
        <f>HYPERLINK("https://github.com/VAMPIER000001/CompetitiveProgramming/blob/master/UVA/V-111/UVA%2011176.cpp","Sol")</f>
        <v/>
      </c>
      <c r="N322" s="488" t="inlineStr">
        <is>
          <t>dp, dp_probability</t>
        </is>
      </c>
      <c r="O322" s="488" t="n">
        <v>29</v>
      </c>
      <c r="P322" s="488" t="n">
        <v>6</v>
      </c>
    </row>
    <row r="323" ht="15.75" customHeight="1" s="279">
      <c r="A323" s="420" t="inlineStr">
        <is>
          <t>Creating Palindrome</t>
        </is>
      </c>
      <c r="B323" s="475">
        <f>HYPERLINK("https://uva.onlinejudge.org/index.php?option=com_onlinejudge&amp;Itemid=8&amp;page=show_problem&amp;problem=2853","UVA 11753")</f>
        <v/>
      </c>
      <c r="C323" s="418" t="n"/>
      <c r="D323" s="418" t="n"/>
      <c r="E323" s="418" t="n"/>
      <c r="F323" s="418" t="n"/>
      <c r="G323" s="418" t="n"/>
      <c r="H323" s="418" t="n"/>
      <c r="I323" s="404">
        <f>SUM(E323:H323)</f>
        <v/>
      </c>
      <c r="J323" s="404" t="n"/>
      <c r="K323" s="404" t="n"/>
      <c r="L323" s="418" t="n"/>
      <c r="M323" s="421">
        <f>HYPERLINK("https://www.youtube.com/watch?v=1fP2Rl0-rWk","Video Solution - Eng Aya Elymany")</f>
        <v/>
      </c>
      <c r="N323" s="488" t="inlineStr">
        <is>
          <t>dp, dp_ranges, lcs or backtrack</t>
        </is>
      </c>
      <c r="O323" s="488" t="n">
        <v>32</v>
      </c>
      <c r="P323" s="488" t="n">
        <v>4.5</v>
      </c>
      <c r="Q323" s="297" t="inlineStr">
        <is>
          <t>p3</t>
        </is>
      </c>
    </row>
    <row r="324" ht="15.75" customHeight="1" s="279">
      <c r="A324" s="420" t="n"/>
      <c r="B324" s="475">
        <f>HYPERLINK("http://codeforces.com/gym/101294/problem/I","CF101294-GYM-I")</f>
        <v/>
      </c>
      <c r="C324" s="418" t="n"/>
      <c r="D324" s="418" t="n"/>
      <c r="E324" s="418" t="n"/>
      <c r="F324" s="418" t="n"/>
      <c r="G324" s="418" t="n"/>
      <c r="H324" s="418" t="n"/>
      <c r="I324" s="404">
        <f>SUM(E324:H324)</f>
        <v/>
      </c>
      <c r="J324" s="418" t="n"/>
      <c r="K324" s="418" t="n"/>
      <c r="L324" s="418" t="n"/>
      <c r="M324" s="493">
        <f>HYPERLINK("https://github.com/SpeedOfMagic/CompetitiveProgramming/blob/master/CodeforcesGym/CF101294-GYM-I.cpp","Sol")</f>
        <v/>
      </c>
      <c r="N324" s="488" t="inlineStr">
        <is>
          <t>dp, dp_ranges</t>
        </is>
      </c>
      <c r="O324" s="488" t="n">
        <v>32</v>
      </c>
      <c r="P324" s="488" t="n">
        <v>4.5</v>
      </c>
      <c r="Q324" s="297" t="inlineStr">
        <is>
          <t>p1</t>
        </is>
      </c>
    </row>
    <row r="325" ht="15.75" customHeight="1" s="279">
      <c r="A325" s="420" t="n"/>
      <c r="B325" s="420" t="inlineStr">
        <is>
          <t>SRM441-D1-250</t>
        </is>
      </c>
      <c r="C325" s="418" t="n"/>
      <c r="D325" s="418" t="n"/>
      <c r="E325" s="418" t="n"/>
      <c r="F325" s="418" t="n"/>
      <c r="G325" s="418" t="n"/>
      <c r="H325" s="418" t="n"/>
      <c r="I325" s="404">
        <f>SUM(E325:H325)</f>
        <v/>
      </c>
      <c r="J325" s="404" t="n"/>
      <c r="K325" s="404" t="n"/>
      <c r="L325" s="418" t="n"/>
      <c r="M325" s="420" t="n"/>
      <c r="N325" s="488" t="inlineStr">
        <is>
          <t>dp, dp_ranges, [consective ranges, cyclic permutation] or bf</t>
        </is>
      </c>
      <c r="O325" s="488" t="n">
        <v>32</v>
      </c>
      <c r="P325" s="488" t="n">
        <v>5</v>
      </c>
      <c r="Q325" s="297" t="inlineStr">
        <is>
          <t>p2</t>
        </is>
      </c>
    </row>
    <row r="326" ht="15.75" customHeight="1" s="279">
      <c r="A326" s="420" t="n"/>
      <c r="B326" s="420" t="inlineStr">
        <is>
          <t>SRM536-D2-1000</t>
        </is>
      </c>
      <c r="C326" s="418" t="n"/>
      <c r="D326" s="418" t="n"/>
      <c r="E326" s="418" t="n"/>
      <c r="F326" s="418" t="n"/>
      <c r="G326" s="418" t="n"/>
      <c r="H326" s="418" t="n"/>
      <c r="I326" s="404">
        <f>SUM(E326:H326)</f>
        <v/>
      </c>
      <c r="J326" s="404" t="n"/>
      <c r="K326" s="404" t="n"/>
      <c r="L326" s="418" t="n"/>
      <c r="M326" s="458" t="n"/>
      <c r="N326" s="488" t="inlineStr">
        <is>
          <t>dp, dp_ranges, [consective ranges]</t>
        </is>
      </c>
      <c r="O326" s="488" t="n">
        <v>32</v>
      </c>
      <c r="P326" s="488" t="n">
        <v>5</v>
      </c>
      <c r="Q326" s="297" t="inlineStr">
        <is>
          <t>p1</t>
        </is>
      </c>
    </row>
    <row r="327" ht="15.75" customHeight="1" s="279">
      <c r="A327" s="475">
        <f>HYPERLINK("https://community.topcoder.com/stat?c=problem_statement&amp;pm=1331&amp;rd=4550","MessageMess")</f>
        <v/>
      </c>
      <c r="B327" s="420" t="inlineStr">
        <is>
          <t>SRM149-D1-500</t>
        </is>
      </c>
      <c r="C327" s="418" t="n"/>
      <c r="D327" s="418" t="n"/>
      <c r="E327" s="418" t="n"/>
      <c r="F327" s="418" t="n"/>
      <c r="G327" s="418" t="n"/>
      <c r="H327" s="418" t="n"/>
      <c r="I327" s="404">
        <f>SUM(E327:H327)</f>
        <v/>
      </c>
      <c r="J327" s="404" t="n"/>
      <c r="K327" s="404" t="n"/>
      <c r="L327" s="418" t="n"/>
      <c r="M327" s="458" t="n"/>
      <c r="N327" s="488" t="inlineStr">
        <is>
          <t>dp, dp_ranges, impl, [consective ranges]</t>
        </is>
      </c>
      <c r="O327" s="488" t="n">
        <v>32</v>
      </c>
      <c r="P327" s="488" t="n">
        <v>5</v>
      </c>
    </row>
    <row r="328" ht="15.75" customHeight="1" s="279">
      <c r="A328" s="420" t="n"/>
      <c r="B328" s="420" t="inlineStr">
        <is>
          <t>SRM555-D2-1000</t>
        </is>
      </c>
      <c r="C328" s="418" t="n"/>
      <c r="D328" s="418" t="n"/>
      <c r="E328" s="418" t="n"/>
      <c r="F328" s="418" t="n"/>
      <c r="G328" s="418" t="n"/>
      <c r="H328" s="418" t="n"/>
      <c r="I328" s="404">
        <f>SUM(E328:H328)</f>
        <v/>
      </c>
      <c r="J328" s="418" t="n"/>
      <c r="K328" s="418" t="n"/>
      <c r="L328" s="418" t="n"/>
      <c r="M328" s="488" t="n"/>
      <c r="N328" s="488" t="inlineStr">
        <is>
          <t>dp, dp_ranges, [consective ranges]</t>
        </is>
      </c>
      <c r="O328" s="488" t="n">
        <v>32</v>
      </c>
      <c r="P328" s="488" t="n">
        <v>5</v>
      </c>
    </row>
    <row r="329" ht="15.75" customHeight="1" s="279">
      <c r="A329" s="420" t="n"/>
      <c r="B329" s="420" t="inlineStr">
        <is>
          <t>SRM558-D1-250</t>
        </is>
      </c>
      <c r="C329" s="418" t="n"/>
      <c r="D329" s="418" t="n"/>
      <c r="E329" s="418" t="n"/>
      <c r="F329" s="418" t="n"/>
      <c r="G329" s="418" t="n"/>
      <c r="H329" s="418" t="n"/>
      <c r="I329" s="404">
        <f>SUM(E329:H329)</f>
        <v/>
      </c>
      <c r="J329" s="418" t="n"/>
      <c r="K329" s="418" t="n"/>
      <c r="L329" s="418" t="n"/>
      <c r="M329" s="488" t="n"/>
      <c r="N329" s="488" t="inlineStr">
        <is>
          <t>dp, dp_ranges, [consective ranges] or bf</t>
        </is>
      </c>
      <c r="O329" s="488" t="n">
        <v>32</v>
      </c>
      <c r="P329" s="488" t="n">
        <v>5.5</v>
      </c>
      <c r="Q329" s="297" t="inlineStr">
        <is>
          <t>p2</t>
        </is>
      </c>
    </row>
    <row r="330" ht="15.75" customHeight="1" s="279">
      <c r="A330" s="420" t="inlineStr">
        <is>
          <t>Exploring Pyramids</t>
        </is>
      </c>
      <c r="B330" s="475">
        <f>HYPERLINK("https://uva.onlinejudge.org/index.php?option=com_onlinejudge&amp;Itemid=8&amp;page=show_problem&amp;problem=4108","UVA 1362")</f>
        <v/>
      </c>
      <c r="C330" s="418" t="n"/>
      <c r="D330" s="418" t="n"/>
      <c r="E330" s="418" t="n"/>
      <c r="F330" s="418" t="n"/>
      <c r="G330" s="418" t="n"/>
      <c r="H330" s="418" t="n"/>
      <c r="I330" s="404">
        <f>SUM(E330:H330)</f>
        <v/>
      </c>
      <c r="J330" s="404" t="n"/>
      <c r="K330" s="404" t="n"/>
      <c r="L330" s="418" t="n"/>
      <c r="M330" s="421">
        <f>HYPERLINK("https://www.youtube.com/watch?v=NTxsccxXCW0","Video Solution - Eng Ayman Salah")</f>
        <v/>
      </c>
      <c r="N330" s="488" t="inlineStr">
        <is>
          <t>dp, dp_ranges</t>
        </is>
      </c>
      <c r="O330" s="488" t="n">
        <v>32</v>
      </c>
      <c r="P330" s="488" t="n">
        <v>5.5</v>
      </c>
    </row>
    <row r="331" ht="15.75" customHeight="1" s="279">
      <c r="A331" s="420" t="inlineStr">
        <is>
          <t>Brackets sequence</t>
        </is>
      </c>
      <c r="B331" s="475">
        <f>HYPERLINK("https://uva.onlinejudge.org/index.php?option=com_onlinejudge&amp;Itemid=8&amp;page=show_problem&amp;problem=4501","UVA 1626")</f>
        <v/>
      </c>
      <c r="C331" s="418" t="n"/>
      <c r="D331" s="418" t="n"/>
      <c r="E331" s="418" t="n"/>
      <c r="F331" s="418" t="n"/>
      <c r="G331" s="418" t="n"/>
      <c r="H331" s="418" t="n"/>
      <c r="I331" s="404">
        <f>SUM(E331:H331)</f>
        <v/>
      </c>
      <c r="J331" s="404" t="n"/>
      <c r="K331" s="404" t="n"/>
      <c r="L331" s="512" t="n"/>
      <c r="M331" s="493">
        <f>HYPERLINK("https://github.com/abdullaAshraf/Problem-Solving/blob/master/UVA/1626.cpp","Sol")</f>
        <v/>
      </c>
      <c r="N331" s="488" t="inlineStr">
        <is>
          <t>dp, dp_ranges</t>
        </is>
      </c>
      <c r="O331" s="488" t="n">
        <v>32</v>
      </c>
      <c r="P331" s="488" t="n">
        <v>5.5</v>
      </c>
    </row>
    <row r="332" ht="15.75" customHeight="1" s="279">
      <c r="A332" s="420" t="n"/>
      <c r="B332" s="420" t="inlineStr">
        <is>
          <t>SRM509-D1-500</t>
        </is>
      </c>
      <c r="C332" s="418" t="n"/>
      <c r="D332" s="418" t="n"/>
      <c r="E332" s="418" t="n"/>
      <c r="F332" s="418" t="n"/>
      <c r="G332" s="418" t="n"/>
      <c r="H332" s="418" t="n"/>
      <c r="I332" s="404">
        <f>SUM(E332:H332)</f>
        <v/>
      </c>
      <c r="J332" s="418" t="n"/>
      <c r="K332" s="418" t="n"/>
      <c r="L332" s="418" t="n"/>
      <c r="M332" s="420" t="n"/>
      <c r="N332" s="488" t="inlineStr">
        <is>
          <t>dp, dp_ranges, floyd, [cases]</t>
        </is>
      </c>
      <c r="O332" s="488" t="n">
        <v>32</v>
      </c>
      <c r="P332" s="488" t="n">
        <v>6</v>
      </c>
      <c r="Q332" s="297" t="inlineStr">
        <is>
          <t>p4</t>
        </is>
      </c>
    </row>
    <row r="333" ht="15.75" customHeight="1" s="279">
      <c r="A333" s="420" t="n"/>
      <c r="B333" s="475">
        <f>HYPERLINK("https://uva.onlinejudge.org/index.php?option=onlinejudge&amp;page=show_problem&amp;problem=448","UVA 507")</f>
        <v/>
      </c>
      <c r="C333" s="418" t="n"/>
      <c r="D333" s="418" t="n"/>
      <c r="E333" s="418" t="n"/>
      <c r="F333" s="418" t="n"/>
      <c r="G333" s="418" t="n"/>
      <c r="H333" s="418" t="n"/>
      <c r="I333" s="404">
        <f>SUM(E333:H333)</f>
        <v/>
      </c>
      <c r="J333" s="418" t="n"/>
      <c r="K333" s="418" t="n"/>
      <c r="L333" s="418" t="n"/>
      <c r="M333" s="420" t="n"/>
      <c r="N333" s="488" t="inlineStr">
        <is>
          <t>dp, dp_subrectangle, 1d, [more direct uva 12640]</t>
        </is>
      </c>
      <c r="O333" s="488" t="n">
        <v>36</v>
      </c>
      <c r="P333" s="488" t="n">
        <v>3</v>
      </c>
    </row>
    <row r="334" ht="15.75" customHeight="1" s="279">
      <c r="A334" s="420" t="n"/>
      <c r="B334" s="475">
        <f>HYPERLINK("https://uva.onlinejudge.org/index.php?option=com_onlinejudge&amp;Itemid=8&amp;page=show_problem&amp;problem=1608","UVA 10667")</f>
        <v/>
      </c>
      <c r="C334" s="418" t="n"/>
      <c r="D334" s="418" t="n"/>
      <c r="E334" s="418" t="n"/>
      <c r="F334" s="418" t="n"/>
      <c r="G334" s="418" t="n"/>
      <c r="H334" s="418" t="n"/>
      <c r="I334" s="404">
        <f>SUM(E334:H334)</f>
        <v/>
      </c>
      <c r="J334" s="418" t="n"/>
      <c r="K334" s="418" t="n"/>
      <c r="L334" s="418" t="n"/>
      <c r="M334" s="420" t="n"/>
      <c r="N334" s="488" t="inlineStr">
        <is>
          <t>dp, dp_subrectangle, 2d</t>
        </is>
      </c>
      <c r="O334" s="488" t="n">
        <v>36</v>
      </c>
      <c r="P334" s="488" t="n">
        <v>3</v>
      </c>
    </row>
    <row r="335" ht="15.75" customHeight="1" s="279">
      <c r="A335" s="420" t="inlineStr">
        <is>
          <t>Big Maximum Sum</t>
        </is>
      </c>
      <c r="B335" s="475">
        <f>HYPERLINK("http://codeforces.com/contest/75/problem/D","CF75-D2-D")</f>
        <v/>
      </c>
      <c r="C335" s="418" t="n"/>
      <c r="D335" s="418" t="n"/>
      <c r="E335" s="418" t="n"/>
      <c r="F335" s="418" t="n"/>
      <c r="G335" s="418" t="n"/>
      <c r="H335" s="418" t="n"/>
      <c r="I335" s="404">
        <f>SUM(E335:H335)</f>
        <v/>
      </c>
      <c r="J335" s="404" t="n"/>
      <c r="K335" s="404" t="n"/>
      <c r="L335" s="418" t="n"/>
      <c r="M335" s="488" t="n"/>
      <c r="N335" s="488" t="inlineStr">
        <is>
          <t>dp, dp_subrectangle, 2d, [actually greedy version]</t>
        </is>
      </c>
      <c r="O335" s="488" t="n">
        <v>36</v>
      </c>
      <c r="P335" s="488" t="n">
        <v>5</v>
      </c>
      <c r="Q335" s="297" t="inlineStr">
        <is>
          <t>p2</t>
        </is>
      </c>
    </row>
    <row r="336" ht="15.75" customHeight="1" s="279">
      <c r="A336" s="420" t="n"/>
      <c r="B336" s="420" t="inlineStr">
        <is>
          <t>SPOJ FISHES</t>
        </is>
      </c>
      <c r="C336" s="418" t="n"/>
      <c r="D336" s="418" t="n"/>
      <c r="E336" s="418" t="n"/>
      <c r="F336" s="418" t="n"/>
      <c r="G336" s="418" t="n"/>
      <c r="H336" s="418" t="n"/>
      <c r="I336" s="404">
        <f>SUM(E336:H336)</f>
        <v/>
      </c>
      <c r="J336" s="404" t="n"/>
      <c r="K336" s="404" t="n"/>
      <c r="L336" s="512" t="n"/>
      <c r="M336" s="475">
        <f>HYPERLINK("https://github.com/mostafa-saad/MyCompetitiveProgramming/blob/master/SPOJ/SPOJ_FISHES.txt","Sol")</f>
        <v/>
      </c>
      <c r="N336" s="488" t="inlineStr">
        <is>
          <t>dp, dp_subrectangle, 2d, observations, dot product, largest rectangle general, [author: mostafa saad - i am authot.the math equations are for an important observation in linear svm]</t>
        </is>
      </c>
      <c r="O336" s="488" t="n">
        <v>36</v>
      </c>
      <c r="P336" s="488" t="n">
        <v>5.5</v>
      </c>
      <c r="Q336" s="297" t="inlineStr">
        <is>
          <t>p3</t>
        </is>
      </c>
    </row>
    <row r="337" ht="15.75" customHeight="1" s="279">
      <c r="A337" s="420" t="inlineStr">
        <is>
          <t>Reberland Linguistics</t>
        </is>
      </c>
      <c r="B337" s="475">
        <f>HYPERLINK("http://codeforces.com/contest/667/problem/C","CF667-D2-C")</f>
        <v/>
      </c>
      <c r="C337" s="418" t="n"/>
      <c r="D337" s="418" t="n"/>
      <c r="E337" s="418" t="n"/>
      <c r="F337" s="418" t="n"/>
      <c r="G337" s="418" t="n"/>
      <c r="H337" s="418" t="n"/>
      <c r="I337" s="404">
        <f>SUM(E337:H337)</f>
        <v/>
      </c>
      <c r="J337" s="418" t="n"/>
      <c r="K337" s="418" t="n"/>
      <c r="L337" s="418" t="n"/>
      <c r="M337" s="420" t="n"/>
      <c r="N337" s="488" t="inlineStr">
        <is>
          <t>dp, dp_table</t>
        </is>
      </c>
      <c r="O337" s="488" t="n">
        <v>37</v>
      </c>
      <c r="P337" s="488" t="n">
        <v>4.5</v>
      </c>
      <c r="Q337" s="297" t="inlineStr">
        <is>
          <t>p3</t>
        </is>
      </c>
    </row>
    <row r="338" ht="15.75" customHeight="1" s="279">
      <c r="A338" s="420" t="inlineStr">
        <is>
          <t>Red-Green Towers</t>
        </is>
      </c>
      <c r="B338" s="475">
        <f>HYPERLINK("http://codeforces.com/contest/478/problem/D","CF478-D2-D")</f>
        <v/>
      </c>
      <c r="C338" s="418" t="n"/>
      <c r="D338" s="418" t="n"/>
      <c r="E338" s="418" t="n"/>
      <c r="F338" s="418" t="n"/>
      <c r="G338" s="418" t="n"/>
      <c r="H338" s="418" t="n"/>
      <c r="I338" s="404">
        <f>SUM(E338:H338)</f>
        <v/>
      </c>
      <c r="J338" s="404" t="n"/>
      <c r="K338" s="404" t="n"/>
      <c r="L338" s="512" t="n"/>
      <c r="M338" s="420" t="n"/>
      <c r="N338" s="488" t="inlineStr">
        <is>
          <t>dp, dp_table, dp_roll</t>
        </is>
      </c>
      <c r="O338" s="488" t="n">
        <v>37</v>
      </c>
      <c r="P338" s="488" t="n">
        <v>5</v>
      </c>
      <c r="Q338" s="297" t="inlineStr">
        <is>
          <t>p3</t>
        </is>
      </c>
    </row>
    <row r="339" ht="15.75" customHeight="1" s="279">
      <c r="A339" s="420" t="inlineStr">
        <is>
          <t>Cunning Gena</t>
        </is>
      </c>
      <c r="B339" s="475">
        <f>HYPERLINK("http://codeforces.com/contest/418/problem/B","CF418-D1-B")</f>
        <v/>
      </c>
      <c r="C339" s="418" t="n"/>
      <c r="D339" s="418" t="n"/>
      <c r="E339" s="418" t="n"/>
      <c r="F339" s="418" t="n"/>
      <c r="G339" s="418" t="n"/>
      <c r="H339" s="418" t="n"/>
      <c r="I339" s="404">
        <f>SUM(E339:H339)</f>
        <v/>
      </c>
      <c r="J339" s="404" t="n"/>
      <c r="K339" s="404" t="n"/>
      <c r="L339" s="418" t="n"/>
      <c r="M339" s="488" t="n"/>
      <c r="N339" s="488" t="inlineStr">
        <is>
          <t>dp, dp_table, dp_roll, dp_bitmasks, sortings</t>
        </is>
      </c>
      <c r="O339" s="488" t="n">
        <v>37</v>
      </c>
      <c r="P339" s="488" t="n">
        <v>5.5</v>
      </c>
      <c r="Q339" s="297" t="inlineStr">
        <is>
          <t>p4</t>
        </is>
      </c>
    </row>
    <row r="340" ht="15.75" customHeight="1" s="279">
      <c r="A340" s="420" t="n"/>
      <c r="B340" s="420" t="inlineStr">
        <is>
          <t>ZOJ 3305</t>
        </is>
      </c>
      <c r="C340" s="418" t="n"/>
      <c r="D340" s="418" t="n"/>
      <c r="E340" s="418" t="n"/>
      <c r="F340" s="418" t="n"/>
      <c r="G340" s="418" t="n"/>
      <c r="H340" s="418" t="n"/>
      <c r="I340" s="404">
        <f>SUM(E340:H340)</f>
        <v/>
      </c>
      <c r="J340" s="404" t="n"/>
      <c r="K340" s="404" t="n"/>
      <c r="L340" s="512" t="n"/>
      <c r="M340" s="475">
        <f>HYPERLINK("https://github.com/magdy-hasan/competitive-programming/blob/master/Other/ZOJ%20Get%20Sauce.cpp","Sol")</f>
        <v/>
      </c>
      <c r="N340" s="488" t="inlineStr">
        <is>
          <t>dp, dp_table or dp_bitmasks, all submasks of a mask, [if don't know the trick: https://ideone.com/p1vj81]</t>
        </is>
      </c>
      <c r="O340" s="488" t="n">
        <v>37</v>
      </c>
      <c r="P340" s="488" t="n">
        <v>5.5</v>
      </c>
      <c r="Q340" s="297" t="inlineStr">
        <is>
          <t>p4</t>
        </is>
      </c>
    </row>
    <row r="341" ht="15.75" customHeight="1" s="279">
      <c r="A341" s="420" t="inlineStr">
        <is>
          <t>An overnight dance in discotheque</t>
        </is>
      </c>
      <c r="B341" s="475">
        <f>HYPERLINK("http://codeforces.com/contest/814/problem/D","CF814-D2-D")</f>
        <v/>
      </c>
      <c r="C341" s="418" t="n"/>
      <c r="D341" s="418" t="n"/>
      <c r="E341" s="418" t="n"/>
      <c r="F341" s="418" t="n"/>
      <c r="G341" s="418" t="n"/>
      <c r="H341" s="418" t="n"/>
      <c r="I341" s="404">
        <f>SUM(E341:H341)</f>
        <v/>
      </c>
      <c r="J341" s="404" t="n"/>
      <c r="K341" s="404" t="n"/>
      <c r="L341" s="418" t="n"/>
      <c r="M341" s="475">
        <f>HYPERLINK("https://www.youtube.com/watch?v=UWtHck3a4SA","Video Solution - Solver to be (Java)")</f>
        <v/>
      </c>
      <c r="N341" s="488" t="inlineStr">
        <is>
          <t>dp, dp_trees, geometry or greedy</t>
        </is>
      </c>
      <c r="O341" s="488" t="n">
        <v>38</v>
      </c>
      <c r="P341" s="488" t="n">
        <v>5</v>
      </c>
      <c r="Q341" s="297" t="inlineStr">
        <is>
          <t>p3</t>
        </is>
      </c>
    </row>
    <row r="342" ht="15.75" customHeight="1" s="279">
      <c r="A342" s="420" t="n"/>
      <c r="B342" s="475">
        <f>HYPERLINK("http://codeforces.com/contest/161/problem/D","CF161-D12-D")</f>
        <v/>
      </c>
      <c r="C342" s="418" t="n"/>
      <c r="D342" s="418" t="n"/>
      <c r="E342" s="418" t="n"/>
      <c r="F342" s="418" t="n"/>
      <c r="G342" s="418" t="n"/>
      <c r="H342" s="418" t="n"/>
      <c r="I342" s="404">
        <f>SUM(E342:H342)</f>
        <v/>
      </c>
      <c r="J342" s="404" t="n"/>
      <c r="K342" s="404" t="n"/>
      <c r="L342" s="418" t="n"/>
      <c r="M342" s="515">
        <f>HYPERLINK("https://codeforces.com/blog/entry/20935","Reading: DP on Trees")</f>
        <v/>
      </c>
      <c r="N342" s="488" t="inlineStr">
        <is>
          <t>dp, dp_trees or dsu-on-trees</t>
        </is>
      </c>
      <c r="O342" s="488" t="n">
        <v>38</v>
      </c>
      <c r="P342" s="488" t="n">
        <v>5</v>
      </c>
      <c r="Q342" s="297" t="inlineStr">
        <is>
          <t>p2</t>
        </is>
      </c>
    </row>
    <row r="343" ht="15.75" customHeight="1" s="279">
      <c r="A343" s="420" t="inlineStr">
        <is>
          <t>Vertex Cover</t>
        </is>
      </c>
      <c r="B343" s="475">
        <f>HYPERLINK("http://www.spoj.com/problems/PT07X/","SPOJ PT07X")</f>
        <v/>
      </c>
      <c r="C343" s="418" t="n"/>
      <c r="D343" s="418" t="n"/>
      <c r="E343" s="418" t="n"/>
      <c r="F343" s="418" t="n"/>
      <c r="G343" s="418" t="n"/>
      <c r="H343" s="418" t="n"/>
      <c r="I343" s="404">
        <f>SUM(E343:H343)</f>
        <v/>
      </c>
      <c r="J343" s="404" t="n"/>
      <c r="K343" s="404" t="n"/>
      <c r="L343" s="418" t="n"/>
      <c r="M343" s="493">
        <f>HYPERLINK("https://github.com/abdullaAshraf/Problem-Solving/blob/master/SPOJ/PT07X.cpp","Sol")</f>
        <v/>
      </c>
      <c r="N343" s="488" t="inlineStr">
        <is>
          <t>dp, dp_trees</t>
        </is>
      </c>
      <c r="O343" s="488" t="n">
        <v>38</v>
      </c>
      <c r="P343" s="488" t="n">
        <v>5</v>
      </c>
    </row>
    <row r="344" ht="15.75" customHeight="1" s="279">
      <c r="A344" s="420" t="n"/>
      <c r="B344" s="475">
        <f>HYPERLINK("http://codeforces.com/contest/337/problem/D","CF337-D2-D")</f>
        <v/>
      </c>
      <c r="C344" s="418" t="n"/>
      <c r="D344" s="418" t="n"/>
      <c r="E344" s="418" t="n"/>
      <c r="F344" s="418" t="n"/>
      <c r="G344" s="418" t="n"/>
      <c r="H344" s="418" t="n"/>
      <c r="I344" s="404">
        <f>SUM(E344:H344)</f>
        <v/>
      </c>
      <c r="J344" s="418" t="n"/>
      <c r="K344" s="418" t="n"/>
      <c r="L344" s="512" t="n"/>
      <c r="M344" s="493">
        <f>HYPERLINK("http://codeforces.com/contest/337/submission/38413425","Sol")</f>
        <v/>
      </c>
      <c r="N344" s="488" t="inlineStr">
        <is>
          <t>dp, dp_trees or diameter like, [tricky to guess its level]</t>
        </is>
      </c>
      <c r="O344" s="488" t="n">
        <v>38</v>
      </c>
      <c r="P344" s="488" t="n">
        <v>5.5</v>
      </c>
      <c r="Q344" s="297" t="inlineStr">
        <is>
          <t>p4</t>
        </is>
      </c>
    </row>
    <row r="345" ht="15.75" customHeight="1" s="279">
      <c r="A345" s="420" t="inlineStr">
        <is>
          <t>Chloe and pleasant prizes</t>
        </is>
      </c>
      <c r="B345" s="475">
        <f>HYPERLINK("http://codeforces.com/contest/743/problem/D","CF743-D2-D")</f>
        <v/>
      </c>
      <c r="C345" s="418" t="n"/>
      <c r="D345" s="418" t="n"/>
      <c r="E345" s="418" t="n"/>
      <c r="F345" s="418" t="n"/>
      <c r="G345" s="418" t="n"/>
      <c r="H345" s="418" t="n"/>
      <c r="I345" s="404">
        <f>SUM(E345:H345)</f>
        <v/>
      </c>
      <c r="J345" s="418" t="n"/>
      <c r="K345" s="418" t="n"/>
      <c r="L345" s="418" t="n"/>
      <c r="M345" s="420" t="n"/>
      <c r="N345" s="488" t="inlineStr">
        <is>
          <t>dp, dp_trees</t>
        </is>
      </c>
      <c r="O345" s="488" t="n">
        <v>38</v>
      </c>
      <c r="P345" s="488" t="n">
        <v>5.5</v>
      </c>
      <c r="Q345" s="297" t="inlineStr">
        <is>
          <t>p2</t>
        </is>
      </c>
    </row>
    <row r="346" ht="15.75" customHeight="1" s="279">
      <c r="A346" s="420" t="n"/>
      <c r="B346" s="420" t="inlineStr">
        <is>
          <t>Timus 1362</t>
        </is>
      </c>
      <c r="C346" s="418" t="n"/>
      <c r="D346" s="418" t="n"/>
      <c r="E346" s="418" t="n"/>
      <c r="F346" s="418" t="n"/>
      <c r="G346" s="418" t="n"/>
      <c r="H346" s="418" t="n"/>
      <c r="I346" s="404">
        <f>SUM(E346:H346)</f>
        <v/>
      </c>
      <c r="J346" s="404" t="n"/>
      <c r="K346" s="404" t="n"/>
      <c r="L346" s="512" t="n"/>
      <c r="M346" s="493">
        <f>HYPERLINK("https://github.com/MeGaCrazy/CompetitiveProgramming/blob/2a3c686ba85081a14c9df160224fc1659f7f93ab/Timus/TIMUS_1362.cpp","Sol")</f>
        <v/>
      </c>
      <c r="N346" s="488" t="inlineStr">
        <is>
          <t>dp, dp_trees or greedy</t>
        </is>
      </c>
      <c r="O346" s="488" t="n">
        <v>38</v>
      </c>
      <c r="P346" s="488" t="n">
        <v>5.5</v>
      </c>
      <c r="Q346" s="297" t="inlineStr">
        <is>
          <t>p2</t>
        </is>
      </c>
    </row>
    <row r="347" ht="15.75" customHeight="1" s="279">
      <c r="A347" s="420" t="n"/>
      <c r="B347" s="420" t="inlineStr">
        <is>
          <t>UVA 1218</t>
        </is>
      </c>
      <c r="C347" s="418" t="n"/>
      <c r="D347" s="418" t="n"/>
      <c r="E347" s="418" t="n"/>
      <c r="F347" s="418" t="n"/>
      <c r="G347" s="418" t="n"/>
      <c r="H347" s="418" t="n"/>
      <c r="I347" s="404">
        <f>SUM(E347:H347)</f>
        <v/>
      </c>
      <c r="J347" s="418" t="n"/>
      <c r="K347" s="418" t="n"/>
      <c r="L347" s="418" t="n"/>
      <c r="M347" s="493">
        <f>HYPERLINK("https://github.com/mostafa-saad/MyCompetitiveProgramming/blob/master/UVA/UVA_1218.txt","Sol")</f>
        <v/>
      </c>
      <c r="N347" s="488" t="inlineStr">
        <is>
          <t>dp, dp_trees, [vertex cover releated]</t>
        </is>
      </c>
      <c r="O347" s="488" t="n">
        <v>38</v>
      </c>
      <c r="P347" s="488" t="n">
        <v>5.75</v>
      </c>
      <c r="Q347" s="297" t="inlineStr">
        <is>
          <t>p2</t>
        </is>
      </c>
    </row>
    <row r="348" ht="15.75" customHeight="1" s="279">
      <c r="A348" s="420" t="inlineStr">
        <is>
          <t>Playing Cubes</t>
        </is>
      </c>
      <c r="B348" s="475">
        <f>HYPERLINK("http://codeforces.com/contest/257/problem/B","CF257-D2-B")</f>
        <v/>
      </c>
      <c r="C348" s="418" t="n"/>
      <c r="D348" s="418" t="n"/>
      <c r="E348" s="418" t="n"/>
      <c r="F348" s="418" t="n"/>
      <c r="G348" s="418" t="n"/>
      <c r="H348" s="418" t="n"/>
      <c r="I348" s="404">
        <f>SUM(E348:H348)</f>
        <v/>
      </c>
      <c r="J348" s="404" t="n"/>
      <c r="K348" s="404" t="n"/>
      <c r="L348" s="418" t="n"/>
      <c r="M348" s="420" t="n"/>
      <c r="N348" s="488" t="inlineStr">
        <is>
          <t>game theory, greedy</t>
        </is>
      </c>
      <c r="O348" s="488" t="n">
        <v>41</v>
      </c>
      <c r="P348" s="488" t="n">
        <v>2.5</v>
      </c>
    </row>
    <row r="349" ht="15.75" customHeight="1" s="279">
      <c r="A349" s="420" t="inlineStr">
        <is>
          <t>Euclid's Game</t>
        </is>
      </c>
      <c r="B349" s="475">
        <f>HYPERLINK("https://uva.onlinejudge.org/index.php?option=onlinejudge&amp;page=show_problem&amp;problem=1309","UVA 10368")</f>
        <v/>
      </c>
      <c r="C349" s="418" t="n"/>
      <c r="D349" s="418" t="n"/>
      <c r="E349" s="418" t="n"/>
      <c r="F349" s="418" t="n"/>
      <c r="G349" s="418" t="n"/>
      <c r="H349" s="418" t="n"/>
      <c r="I349" s="404">
        <f>SUM(E349:H349)</f>
        <v/>
      </c>
      <c r="J349" s="404" t="n"/>
      <c r="K349" s="404" t="n"/>
      <c r="L349" s="418" t="n"/>
      <c r="M349" s="421">
        <f>HYPERLINK("https://www.youtube.com/watch?v=86oGEiHeDO0","Video Solution - Eng Moaz Rashad")</f>
        <v/>
      </c>
      <c r="N349" s="488" t="inlineStr">
        <is>
          <t>game theory, gcd, dfs or pattern, [why each time if i have multiple branches from the current state i can win, why always there is a win leaf state for me if i have multiple branches from the current state?]</t>
        </is>
      </c>
      <c r="O349" s="488" t="n">
        <v>41</v>
      </c>
      <c r="P349" s="488" t="n">
        <v>3.5</v>
      </c>
      <c r="Q349" s="297" t="inlineStr">
        <is>
          <t>p2</t>
        </is>
      </c>
    </row>
    <row r="350" ht="15.75" customHeight="1" s="279">
      <c r="A350" s="420" t="n"/>
      <c r="B350" s="453">
        <f>HYPERLINK("https://codeforces.com/contest/1220/problem/C","CF1220-D12-C")</f>
        <v/>
      </c>
      <c r="C350" s="418" t="n"/>
      <c r="D350" s="418" t="n"/>
      <c r="E350" s="418" t="n"/>
      <c r="F350" s="418" t="n"/>
      <c r="G350" s="418" t="n"/>
      <c r="H350" s="418" t="n"/>
      <c r="I350" s="404">
        <f>SUM(E350:H350)</f>
        <v/>
      </c>
      <c r="J350" s="404" t="n"/>
      <c r="K350" s="404" t="n"/>
      <c r="L350" s="418" t="n"/>
      <c r="M350" s="420" t="n"/>
      <c r="N350" s="488" t="inlineStr">
        <is>
          <t>game theory, adhoc</t>
        </is>
      </c>
      <c r="O350" s="488" t="n">
        <v>41</v>
      </c>
      <c r="P350" s="488" t="n">
        <v>3.5</v>
      </c>
      <c r="Q350" s="297" t="inlineStr">
        <is>
          <t>p2</t>
        </is>
      </c>
    </row>
    <row r="351" ht="23.25" customHeight="1" s="279">
      <c r="A351" s="420" t="inlineStr">
        <is>
          <t>Alice and Bob</t>
        </is>
      </c>
      <c r="B351" s="475">
        <f>HYPERLINK("http://codeforces.com/contest/347/problem/C","CF347-D2-C")</f>
        <v/>
      </c>
      <c r="C351" s="418" t="n"/>
      <c r="D351" s="418" t="n"/>
      <c r="E351" s="418" t="n"/>
      <c r="F351" s="418" t="n"/>
      <c r="G351" s="418" t="n"/>
      <c r="H351" s="418" t="n"/>
      <c r="I351" s="404">
        <f>SUM(E351:H351)</f>
        <v/>
      </c>
      <c r="J351" s="404" t="n"/>
      <c r="K351" s="404" t="n"/>
      <c r="L351" s="418" t="n"/>
      <c r="M351" s="475">
        <f>HYPERLINK("https://www.youtube.com/watch?v=CfBk2dwfLaE","Video Solution - Eng Mohamed Nasser")</f>
        <v/>
      </c>
      <c r="N351" s="488" t="inlineStr">
        <is>
          <t>game theory, gcd</t>
        </is>
      </c>
      <c r="O351" s="488" t="n">
        <v>41</v>
      </c>
      <c r="P351" s="488" t="n">
        <v>4</v>
      </c>
      <c r="Q351" s="297" t="inlineStr">
        <is>
          <t>p1</t>
        </is>
      </c>
    </row>
    <row r="352" ht="15.75" customHeight="1" s="279">
      <c r="A352" s="420" t="inlineStr">
        <is>
          <t>Win or Freeze</t>
        </is>
      </c>
      <c r="B352" s="475">
        <f>HYPERLINK("http://codeforces.com/contest/151/problem/C","CF151-D2-C")</f>
        <v/>
      </c>
      <c r="C352" s="418" t="n"/>
      <c r="D352" s="418" t="n"/>
      <c r="E352" s="418" t="n"/>
      <c r="F352" s="418" t="n"/>
      <c r="G352" s="418" t="n"/>
      <c r="H352" s="418" t="n"/>
      <c r="I352" s="404">
        <f>SUM(E352:H352)</f>
        <v/>
      </c>
      <c r="J352" s="404" t="n"/>
      <c r="K352" s="404" t="n"/>
      <c r="L352" s="418" t="n"/>
      <c r="M352" s="475">
        <f>HYPERLINK("https://www.youtube.com/watch?v=SY88_vndOgI","Video Solution - Dr Mostafa Saad")</f>
        <v/>
      </c>
      <c r="N352" s="488" t="inlineStr">
        <is>
          <t>game theory, divisors, greedy</t>
        </is>
      </c>
      <c r="O352" s="488" t="n">
        <v>41</v>
      </c>
      <c r="P352" s="488" t="n">
        <v>4</v>
      </c>
      <c r="Q352" s="297" t="inlineStr">
        <is>
          <t>p1</t>
        </is>
      </c>
    </row>
    <row r="353" ht="15.75" customHeight="1" s="279">
      <c r="A353" s="420" t="inlineStr">
        <is>
          <t>Brownie Points</t>
        </is>
      </c>
      <c r="B353" s="475">
        <f>HYPERLINK("https://uva.onlinejudge.org/index.php?option=onlinejudge&amp;page=show_problem&amp;problem=1806","UVA 10865")</f>
        <v/>
      </c>
      <c r="C353" s="418" t="n"/>
      <c r="D353" s="418" t="n"/>
      <c r="E353" s="418" t="n"/>
      <c r="F353" s="418" t="n"/>
      <c r="G353" s="418" t="n"/>
      <c r="H353" s="418" t="n"/>
      <c r="I353" s="404">
        <f>SUM(E353:H353)</f>
        <v/>
      </c>
      <c r="J353" s="404" t="n"/>
      <c r="K353" s="404" t="n"/>
      <c r="L353" s="418" t="n"/>
      <c r="M353" s="475">
        <f>HYPERLINK("https://www.youtube.com/watch?v=VZ7kCc80C6o&amp;feature=youtu.be","Video Solution - Eng Magdy Hasan")</f>
        <v/>
      </c>
      <c r="N353" s="488" t="inlineStr">
        <is>
          <t>geometry</t>
        </is>
      </c>
      <c r="O353" s="488" t="n">
        <v>45</v>
      </c>
      <c r="P353" s="488" t="n">
        <v>2</v>
      </c>
      <c r="Q353" s="297" t="inlineStr">
        <is>
          <t>p1</t>
        </is>
      </c>
    </row>
    <row r="354" ht="15.75" customHeight="1" s="279">
      <c r="A354" s="420" t="n"/>
      <c r="B354" s="420" t="inlineStr">
        <is>
          <t>SRM436-D2-500</t>
        </is>
      </c>
      <c r="C354" s="418" t="n"/>
      <c r="D354" s="418" t="n"/>
      <c r="E354" s="418" t="n"/>
      <c r="F354" s="418" t="n"/>
      <c r="G354" s="418" t="n"/>
      <c r="H354" s="418" t="n"/>
      <c r="I354" s="404">
        <f>SUM(E354:H354)</f>
        <v/>
      </c>
      <c r="J354" s="404" t="n"/>
      <c r="K354" s="404" t="n"/>
      <c r="L354" s="418" t="n"/>
      <c r="M354" s="420" t="n"/>
      <c r="N354" s="488" t="inlineStr">
        <is>
          <t>geometry, [slopes comparison]</t>
        </is>
      </c>
      <c r="O354" s="488" t="n">
        <v>45</v>
      </c>
      <c r="P354" s="488" t="n">
        <v>3</v>
      </c>
      <c r="Q354" s="297" t="inlineStr">
        <is>
          <t>p1</t>
        </is>
      </c>
    </row>
    <row r="355" ht="15.75" customHeight="1" s="279">
      <c r="A355" s="420" t="inlineStr">
        <is>
          <t>Points in Figures: Rectangles</t>
        </is>
      </c>
      <c r="B355" s="475">
        <f>HYPERLINK("https://uva.onlinejudge.org/index.php?option=onlinejudge&amp;page=show_problem&amp;problem=417","UVA 476")</f>
        <v/>
      </c>
      <c r="C355" s="418" t="n"/>
      <c r="D355" s="418" t="n"/>
      <c r="E355" s="418" t="n"/>
      <c r="F355" s="418" t="n"/>
      <c r="G355" s="418" t="n"/>
      <c r="H355" s="418" t="n"/>
      <c r="I355" s="404">
        <f>SUM(E355:H355)</f>
        <v/>
      </c>
      <c r="J355" s="451" t="n"/>
      <c r="K355" s="404" t="n"/>
      <c r="L355" s="451" t="n"/>
      <c r="M355" s="423" t="n"/>
      <c r="N355" s="488" t="inlineStr">
        <is>
          <t>geometry</t>
        </is>
      </c>
      <c r="O355" s="488" t="n">
        <v>45</v>
      </c>
      <c r="P355" s="488" t="n">
        <v>3</v>
      </c>
    </row>
    <row r="356" ht="15.75" customHeight="1" s="279">
      <c r="A356" s="420" t="inlineStr">
        <is>
          <t>Watering Flowers</t>
        </is>
      </c>
      <c r="B356" s="475">
        <f>HYPERLINK("http://codeforces.com/contest/617/problem/C","CF617-D2-C")</f>
        <v/>
      </c>
      <c r="C356" s="418" t="n"/>
      <c r="D356" s="418" t="n"/>
      <c r="E356" s="418" t="n"/>
      <c r="F356" s="418" t="n"/>
      <c r="G356" s="418" t="n"/>
      <c r="H356" s="418" t="n"/>
      <c r="I356" s="404">
        <f>SUM(E356:H356)</f>
        <v/>
      </c>
      <c r="J356" s="404" t="n"/>
      <c r="K356" s="404" t="n"/>
      <c r="L356" s="418" t="n"/>
      <c r="M356" s="420" t="n"/>
      <c r="N356" s="488" t="inlineStr">
        <is>
          <t>geometry, bf</t>
        </is>
      </c>
      <c r="O356" s="488" t="n">
        <v>45</v>
      </c>
      <c r="P356" s="488" t="n">
        <v>3</v>
      </c>
    </row>
    <row r="357" ht="15.75" customHeight="1" s="279">
      <c r="A357" s="420" t="inlineStr">
        <is>
          <t>Pouring Rain</t>
        </is>
      </c>
      <c r="B357" s="475">
        <f>HYPERLINK("http://codeforces.com/contest/667/problem/A","CF667-D2-A")</f>
        <v/>
      </c>
      <c r="C357" s="418" t="n"/>
      <c r="D357" s="418" t="n"/>
      <c r="E357" s="418" t="n"/>
      <c r="F357" s="418" t="n"/>
      <c r="G357" s="418" t="n"/>
      <c r="H357" s="418" t="n"/>
      <c r="I357" s="404">
        <f>SUM(E357:H357)</f>
        <v/>
      </c>
      <c r="J357" s="418" t="n"/>
      <c r="K357" s="404" t="n"/>
      <c r="L357" s="418" t="n"/>
      <c r="M357" s="420" t="n"/>
      <c r="N357" s="488" t="inlineStr">
        <is>
          <t>geometry, physics</t>
        </is>
      </c>
      <c r="O357" s="488" t="n">
        <v>45</v>
      </c>
      <c r="P357" s="488" t="n">
        <v>3</v>
      </c>
    </row>
    <row r="358" ht="15.75" customHeight="1" s="279">
      <c r="A358" s="420" t="inlineStr">
        <is>
          <t>Fourth Point !!</t>
        </is>
      </c>
      <c r="B358" s="475">
        <f>HYPERLINK("https://uva.onlinejudge.org/index.php?option=onlinejudge&amp;page=show_problem&amp;problem=1183","UVA 10242")</f>
        <v/>
      </c>
      <c r="C358" s="418" t="n"/>
      <c r="D358" s="418" t="n"/>
      <c r="E358" s="418" t="n"/>
      <c r="F358" s="418" t="n"/>
      <c r="G358" s="418" t="n"/>
      <c r="H358" s="418" t="n"/>
      <c r="I358" s="404">
        <f>SUM(E358:H358)</f>
        <v/>
      </c>
      <c r="J358" s="451" t="n"/>
      <c r="K358" s="404" t="n"/>
      <c r="L358" s="451" t="n"/>
      <c r="M358" s="408">
        <f>HYPERLINK("https://www.youtube.com/watch?v=QkYkuhUHMQA&amp;feature=youtu.be","Video Solution - Eng Magdy Hasan")</f>
        <v/>
      </c>
      <c r="N358" s="488" t="inlineStr">
        <is>
          <t>geometry, vectors addition</t>
        </is>
      </c>
      <c r="O358" s="488" t="n">
        <v>45</v>
      </c>
      <c r="P358" s="488" t="n">
        <v>3</v>
      </c>
    </row>
    <row r="359" ht="15.75" customHeight="1" s="279">
      <c r="A359" s="420" t="inlineStr">
        <is>
          <t>Captain Marmot</t>
        </is>
      </c>
      <c r="B359" s="475">
        <f>HYPERLINK("http://codeforces.com/contest/474/problem/C","CF474-D2-C")</f>
        <v/>
      </c>
      <c r="C359" s="418" t="n"/>
      <c r="D359" s="418" t="n"/>
      <c r="E359" s="418" t="n"/>
      <c r="F359" s="418" t="n"/>
      <c r="G359" s="418" t="n"/>
      <c r="H359" s="418" t="n"/>
      <c r="I359" s="404">
        <f>SUM(E359:H359)</f>
        <v/>
      </c>
      <c r="J359" s="404" t="n"/>
      <c r="K359" s="404" t="n"/>
      <c r="L359" s="418" t="n"/>
      <c r="M359" s="475">
        <f>HYPERLINK("https://www.youtube.com/watch?v=TpRObCQT9Lw","Video Solution - Dr Mostafa Saad")</f>
        <v/>
      </c>
      <c r="N359" s="488" t="inlineStr">
        <is>
          <t>geometry, check square, point rotation, bf</t>
        </is>
      </c>
      <c r="O359" s="488" t="n">
        <v>45</v>
      </c>
      <c r="P359" s="488" t="n">
        <v>3.5</v>
      </c>
      <c r="Q359" s="297" t="inlineStr">
        <is>
          <t>p2</t>
        </is>
      </c>
    </row>
    <row r="360" ht="15.75" customHeight="1" s="279">
      <c r="A360" s="420" t="inlineStr">
        <is>
          <t>Overlapping Rectangles</t>
        </is>
      </c>
      <c r="B360" s="475">
        <f>HYPERLINK("https://uva.onlinejudge.org/index.php?option=onlinejudge&amp;page=show_problem&amp;problem=401","UVA 460")</f>
        <v/>
      </c>
      <c r="C360" s="418" t="n"/>
      <c r="D360" s="418" t="n"/>
      <c r="E360" s="418" t="n"/>
      <c r="F360" s="418" t="n"/>
      <c r="G360" s="418" t="n"/>
      <c r="H360" s="418" t="n"/>
      <c r="I360" s="404">
        <f>SUM(E360:H360)</f>
        <v/>
      </c>
      <c r="J360" s="451" t="n"/>
      <c r="K360" s="404" t="n"/>
      <c r="L360" s="451" t="n"/>
      <c r="M360" s="408">
        <f>HYPERLINK("https://www.youtube.com/watch?v=NOZxcOu25Iw","Video Solution - Eng Muntaser Abukadeja")</f>
        <v/>
      </c>
      <c r="N360" s="488" t="inlineStr">
        <is>
          <t>geometry</t>
        </is>
      </c>
      <c r="O360" s="488" t="n">
        <v>45</v>
      </c>
      <c r="P360" s="488" t="n">
        <v>3.5</v>
      </c>
    </row>
    <row r="361" ht="15.75" customHeight="1" s="279">
      <c r="A361" s="420" t="inlineStr">
        <is>
          <t>Xrange's Pancakes</t>
        </is>
      </c>
      <c r="B361" s="475">
        <f>HYPERLINK("https://www.hackerrank.com/challenges/xrange-and-pizza","HACKR xrange-and-pizza")</f>
        <v/>
      </c>
      <c r="C361" s="418" t="n"/>
      <c r="D361" s="418" t="n"/>
      <c r="E361" s="418" t="n"/>
      <c r="F361" s="418" t="n"/>
      <c r="G361" s="418" t="n"/>
      <c r="H361" s="418" t="n"/>
      <c r="I361" s="404">
        <f>SUM(E361:H361)</f>
        <v/>
      </c>
      <c r="J361" s="404" t="n"/>
      <c r="K361" s="404" t="n"/>
      <c r="L361" s="512" t="n"/>
      <c r="M361" s="493">
        <f>HYPERLINK("https://github.com/AbdelrahmanRamadan/competitive-programming/blob/master/HackerRank/xrange-and-pizza.cpp","Sol")</f>
        <v/>
      </c>
      <c r="N361" s="488" t="inlineStr">
        <is>
          <t>geometry, adhoc</t>
        </is>
      </c>
      <c r="O361" s="488" t="n">
        <v>45</v>
      </c>
      <c r="P361" s="488" t="n">
        <v>4</v>
      </c>
      <c r="Q361" s="297" t="inlineStr">
        <is>
          <t>p2</t>
        </is>
      </c>
    </row>
    <row r="362" ht="15.75" customHeight="1" s="279">
      <c r="A362" s="420" t="n"/>
      <c r="B362" s="475">
        <f>HYPERLINK("https://www.hackerrank.com/challenges/a-circle-and-a-square","HACKR a-circle-and-a-square")</f>
        <v/>
      </c>
      <c r="C362" s="418" t="n"/>
      <c r="D362" s="418" t="n"/>
      <c r="E362" s="418" t="n"/>
      <c r="F362" s="418" t="n"/>
      <c r="G362" s="418" t="n"/>
      <c r="H362" s="418" t="n"/>
      <c r="I362" s="404">
        <f>SUM(E362:H362)</f>
        <v/>
      </c>
      <c r="J362" s="404" t="n"/>
      <c r="K362" s="404" t="n"/>
      <c r="L362" s="418" t="n"/>
      <c r="M362" s="420" t="n"/>
      <c r="N362" s="488" t="inlineStr">
        <is>
          <t>geometry, ccw, parametric equ, in circle</t>
        </is>
      </c>
      <c r="O362" s="488" t="n">
        <v>45</v>
      </c>
      <c r="P362" s="488" t="n">
        <v>4</v>
      </c>
      <c r="Q362" s="297" t="inlineStr">
        <is>
          <t>p2</t>
        </is>
      </c>
    </row>
    <row r="363" ht="15.75" customHeight="1" s="279">
      <c r="A363" s="420" t="n"/>
      <c r="B363" s="420" t="inlineStr">
        <is>
          <t>SPOJ FACENEMY</t>
        </is>
      </c>
      <c r="C363" s="418" t="n"/>
      <c r="D363" s="418" t="n"/>
      <c r="E363" s="418" t="n"/>
      <c r="F363" s="418" t="n"/>
      <c r="G363" s="418" t="n"/>
      <c r="H363" s="418" t="n"/>
      <c r="I363" s="404">
        <f>SUM(E363:H363)</f>
        <v/>
      </c>
      <c r="J363" s="404" t="n"/>
      <c r="K363" s="404" t="n"/>
      <c r="L363" s="418" t="n"/>
      <c r="M363" s="493">
        <f>HYPERLINK("https://github.com/mostafa-saad/MyCompetitiveProgramming/blob/master/SPOJ/SPOJ_FACENEMY.txt","Sol")</f>
        <v/>
      </c>
      <c r="N363" s="488" t="inlineStr">
        <is>
          <t>geometry, angles, precision</t>
        </is>
      </c>
      <c r="O363" s="488" t="n">
        <v>45</v>
      </c>
      <c r="P363" s="488" t="n">
        <v>4</v>
      </c>
      <c r="Q363" s="297" t="inlineStr">
        <is>
          <t>p1</t>
        </is>
      </c>
    </row>
    <row r="364" ht="15.75" customHeight="1" s="279">
      <c r="A364" s="420" t="inlineStr">
        <is>
          <t>k-Multiple Free Set</t>
        </is>
      </c>
      <c r="B364" s="475">
        <f>HYPERLINK("http://codeforces.com/contest/275/problem/C","CF275-D2-C")</f>
        <v/>
      </c>
      <c r="C364" s="418" t="n"/>
      <c r="D364" s="418" t="n"/>
      <c r="E364" s="418" t="n"/>
      <c r="F364" s="418" t="n"/>
      <c r="G364" s="418" t="n"/>
      <c r="H364" s="418" t="n"/>
      <c r="I364" s="404">
        <f>SUM(E364:H364)</f>
        <v/>
      </c>
      <c r="J364" s="404" t="n"/>
      <c r="K364" s="404" t="n"/>
      <c r="L364" s="418" t="n"/>
      <c r="M364" s="420" t="n"/>
      <c r="N364" s="488" t="inlineStr">
        <is>
          <t>geometry</t>
        </is>
      </c>
      <c r="O364" s="488" t="n">
        <v>45</v>
      </c>
      <c r="P364" s="488" t="n">
        <v>4</v>
      </c>
    </row>
    <row r="365" ht="15.75" customHeight="1" s="279">
      <c r="A365" s="420" t="inlineStr">
        <is>
          <t>Gerald's Hexagon</t>
        </is>
      </c>
      <c r="B365" s="475">
        <f>HYPERLINK("http://codeforces.com/contest/560/problem/C","CF560-D2-C")</f>
        <v/>
      </c>
      <c r="C365" s="418" t="n"/>
      <c r="D365" s="418" t="n"/>
      <c r="E365" s="418" t="n"/>
      <c r="F365" s="418" t="n"/>
      <c r="G365" s="418" t="n"/>
      <c r="H365" s="418" t="n"/>
      <c r="I365" s="404">
        <f>SUM(E365:H365)</f>
        <v/>
      </c>
      <c r="J365" s="404" t="n"/>
      <c r="K365" s="404" t="n"/>
      <c r="L365" s="418" t="n"/>
      <c r="M365" s="421" t="n"/>
      <c r="N365" s="488" t="inlineStr">
        <is>
          <t>geometry</t>
        </is>
      </c>
      <c r="O365" s="488" t="n">
        <v>45</v>
      </c>
      <c r="P365" s="488" t="n">
        <v>4</v>
      </c>
    </row>
    <row r="366" ht="15.75" customHeight="1" s="279">
      <c r="A366" s="420" t="inlineStr">
        <is>
          <t>View Angle</t>
        </is>
      </c>
      <c r="B366" s="475">
        <f>HYPERLINK("http://codeforces.com/contest/257/problem/C","CF257-D2-C")</f>
        <v/>
      </c>
      <c r="C366" s="418" t="n"/>
      <c r="D366" s="418" t="n"/>
      <c r="E366" s="418" t="n"/>
      <c r="F366" s="418" t="n"/>
      <c r="G366" s="418" t="n"/>
      <c r="H366" s="418" t="n"/>
      <c r="I366" s="404">
        <f>SUM(E366:H366)</f>
        <v/>
      </c>
      <c r="J366" s="404" t="n"/>
      <c r="K366" s="404" t="n"/>
      <c r="L366" s="418" t="n"/>
      <c r="M366" s="475">
        <f>HYPERLINK("https://github.com/mostafa-saad/MyCompetitiveProgramming/blob/master/Codeforces/CF257-D2-C-AhmedOsama.pdf","Editorial - Eng Ahmed Osama")</f>
        <v/>
      </c>
      <c r="N366" s="488" t="inlineStr">
        <is>
          <t>geometry, angles</t>
        </is>
      </c>
      <c r="O366" s="488" t="n">
        <v>45</v>
      </c>
      <c r="P366" s="488" t="n">
        <v>4</v>
      </c>
    </row>
    <row r="367" ht="15.75" customHeight="1" s="279">
      <c r="A367" s="420" t="inlineStr">
        <is>
          <t>Watchmen</t>
        </is>
      </c>
      <c r="B367" s="475">
        <f>HYPERLINK("http://codeforces.com/contest/651/problem/C","CF651-D2-C")</f>
        <v/>
      </c>
      <c r="C367" s="418" t="n"/>
      <c r="D367" s="418" t="n"/>
      <c r="E367" s="418" t="n"/>
      <c r="F367" s="418" t="n"/>
      <c r="G367" s="418" t="n"/>
      <c r="H367" s="418" t="n"/>
      <c r="I367" s="404">
        <f>SUM(E367:H367)</f>
        <v/>
      </c>
      <c r="J367" s="418" t="n"/>
      <c r="K367" s="418" t="n"/>
      <c r="L367" s="418" t="n"/>
      <c r="M367" s="420" t="n"/>
      <c r="N367" s="488" t="inlineStr">
        <is>
          <t>geometry, datastructures</t>
        </is>
      </c>
      <c r="O367" s="488" t="n">
        <v>45</v>
      </c>
      <c r="P367" s="488" t="n">
        <v>4</v>
      </c>
    </row>
    <row r="368" ht="15.75" customHeight="1" s="279">
      <c r="A368" s="420" t="inlineStr">
        <is>
          <t>Bicycle Race</t>
        </is>
      </c>
      <c r="B368" s="475">
        <f>HYPERLINK("http://codeforces.com/contest/659/problem/D","CF659-D2-D")</f>
        <v/>
      </c>
      <c r="C368" s="418" t="n"/>
      <c r="D368" s="418" t="n"/>
      <c r="E368" s="418" t="n"/>
      <c r="F368" s="418" t="n"/>
      <c r="G368" s="418" t="n"/>
      <c r="H368" s="418" t="n"/>
      <c r="I368" s="404">
        <f>SUM(E368:H368)</f>
        <v/>
      </c>
      <c r="J368" s="418" t="n"/>
      <c r="K368" s="418" t="n"/>
      <c r="L368" s="418" t="n"/>
      <c r="M368" s="420" t="n"/>
      <c r="N368" s="488" t="inlineStr">
        <is>
          <t>geometry, impl, [very nice, o(1) and o(n) solutions]</t>
        </is>
      </c>
      <c r="O368" s="488" t="n">
        <v>45</v>
      </c>
      <c r="P368" s="488" t="n">
        <v>4.5</v>
      </c>
      <c r="Q368" s="297" t="inlineStr">
        <is>
          <t>p3</t>
        </is>
      </c>
    </row>
    <row r="369" ht="15.75" customHeight="1" s="279">
      <c r="A369" s="420" t="inlineStr">
        <is>
          <t>Pyramids</t>
        </is>
      </c>
      <c r="B369" s="475">
        <f>HYPERLINK("http://www.spoj.com/problems/PIR/","SPOJ PIR")</f>
        <v/>
      </c>
      <c r="C369" s="418" t="n"/>
      <c r="D369" s="418" t="n"/>
      <c r="E369" s="418" t="n"/>
      <c r="F369" s="418" t="n"/>
      <c r="G369" s="418" t="n"/>
      <c r="H369" s="418" t="n"/>
      <c r="I369" s="404">
        <f>SUM(E369:H369)</f>
        <v/>
      </c>
      <c r="J369" s="404" t="n"/>
      <c r="K369" s="404" t="n"/>
      <c r="L369" s="418" t="n"/>
      <c r="M369" s="493">
        <f>HYPERLINK("https://github.com/mostafa-saad/MyCompetitiveProgramming/blob/master/SPOJ/SPOJ_PIR.txt","Sol")</f>
        <v/>
      </c>
      <c r="N369" s="488" t="inlineStr">
        <is>
          <t>geometry, formula or matrix determinant</t>
        </is>
      </c>
      <c r="O369" s="488" t="n">
        <v>45</v>
      </c>
      <c r="P369" s="488" t="n">
        <v>4.5</v>
      </c>
      <c r="Q369" s="297" t="inlineStr">
        <is>
          <t>p1</t>
        </is>
      </c>
    </row>
    <row r="370" ht="15.75" customHeight="1" s="279">
      <c r="A370" s="420" t="inlineStr">
        <is>
          <t>Pythagorean Triples</t>
        </is>
      </c>
      <c r="B370" s="475">
        <f>HYPERLINK("http://codeforces.com/contest/707/problem/C","CF707-D2-C")</f>
        <v/>
      </c>
      <c r="C370" s="418" t="n"/>
      <c r="D370" s="418" t="n"/>
      <c r="E370" s="418" t="n"/>
      <c r="F370" s="418" t="n"/>
      <c r="G370" s="418" t="n"/>
      <c r="H370" s="418" t="n"/>
      <c r="I370" s="404">
        <f>SUM(E370:H370)</f>
        <v/>
      </c>
      <c r="J370" s="404" t="n"/>
      <c r="K370" s="404" t="n"/>
      <c r="L370" s="418" t="n"/>
      <c r="M370" s="420" t="n"/>
      <c r="N370" s="516" t="inlineStr">
        <is>
          <t>geometry, triangles, formula</t>
        </is>
      </c>
      <c r="O370" s="488" t="n">
        <v>45</v>
      </c>
      <c r="P370" s="488" t="n">
        <v>4.5</v>
      </c>
      <c r="Q370" s="297" t="inlineStr">
        <is>
          <t>p2</t>
        </is>
      </c>
    </row>
    <row r="371" ht="15.75" customHeight="1" s="279">
      <c r="A371" s="420" t="n"/>
      <c r="B371" s="475">
        <f>HYPERLINK("https://www.spoj.com/problems/BILLIARD/","SPOJ BILLIARD")</f>
        <v/>
      </c>
      <c r="C371" s="418" t="n"/>
      <c r="D371" s="418" t="n"/>
      <c r="E371" s="418" t="n"/>
      <c r="F371" s="418" t="n"/>
      <c r="G371" s="418" t="n"/>
      <c r="H371" s="418" t="n"/>
      <c r="I371" s="404">
        <f>SUM(E371:H371)</f>
        <v/>
      </c>
      <c r="J371" s="418" t="n"/>
      <c r="K371" s="418" t="n"/>
      <c r="L371" s="517" t="n"/>
      <c r="M371" s="493">
        <f>HYPERLINK("https://github.com/osamahatem/CompetitiveProgramming/blob/master/SPOJ/BILLIARD.cpp","Sol")</f>
        <v/>
      </c>
      <c r="N371" s="488" t="inlineStr">
        <is>
          <t>geometry, angles, physics</t>
        </is>
      </c>
      <c r="O371" s="488" t="n">
        <v>45</v>
      </c>
      <c r="P371" s="488" t="n">
        <v>5</v>
      </c>
      <c r="Q371" s="304" t="n"/>
    </row>
    <row r="372" ht="15.75" customHeight="1" s="279">
      <c r="A372" s="420" t="inlineStr">
        <is>
          <t>Cupboard and Balloons</t>
        </is>
      </c>
      <c r="B372" s="475">
        <f>HYPERLINK("http://codeforces.com/contest/342/problem/C","CF342-D2-C")</f>
        <v/>
      </c>
      <c r="C372" s="418" t="n"/>
      <c r="D372" s="418" t="n"/>
      <c r="E372" s="418" t="n"/>
      <c r="F372" s="418" t="n"/>
      <c r="G372" s="418" t="n"/>
      <c r="H372" s="418" t="n"/>
      <c r="I372" s="404">
        <f>SUM(E372:H372)</f>
        <v/>
      </c>
      <c r="J372" s="418" t="n"/>
      <c r="K372" s="418" t="n"/>
      <c r="L372" s="418" t="n"/>
      <c r="M372" s="420" t="n"/>
      <c r="N372" s="488" t="inlineStr">
        <is>
          <t>geometry</t>
        </is>
      </c>
      <c r="O372" s="488" t="n">
        <v>45</v>
      </c>
      <c r="P372" s="488" t="n">
        <v>5</v>
      </c>
      <c r="Q372" s="297" t="inlineStr">
        <is>
          <t>p3</t>
        </is>
      </c>
    </row>
    <row r="373" ht="15.75" customHeight="1" s="279">
      <c r="A373" s="420" t="n"/>
      <c r="B373" s="475">
        <f>HYPERLINK("https://codeforces.com/contest/1064/problem/E","CF1064-D2-E")</f>
        <v/>
      </c>
      <c r="C373" s="418" t="n"/>
      <c r="D373" s="418" t="n"/>
      <c r="E373" s="418" t="n"/>
      <c r="F373" s="418" t="n"/>
      <c r="G373" s="418" t="n"/>
      <c r="H373" s="418" t="n"/>
      <c r="I373" s="404">
        <f>SUM(E373:H373)</f>
        <v/>
      </c>
      <c r="J373" s="404" t="n"/>
      <c r="K373" s="404" t="n"/>
      <c r="L373" s="418" t="n"/>
      <c r="M373" s="488" t="n"/>
      <c r="N373" s="488" t="inlineStr">
        <is>
          <t>geometry, binary search, interactive</t>
        </is>
      </c>
      <c r="O373" s="488" t="n">
        <v>45</v>
      </c>
      <c r="P373" s="488" t="n">
        <v>5</v>
      </c>
      <c r="Q373" s="297" t="inlineStr">
        <is>
          <t>p3</t>
        </is>
      </c>
    </row>
    <row r="374" ht="15.75" customHeight="1" s="279">
      <c r="A374" s="420" t="n"/>
      <c r="B374" s="475">
        <f>HYPERLINK("http://codeforces.com/problemset/problem/961/D","CF961-D12-D")</f>
        <v/>
      </c>
      <c r="C374" s="418" t="n"/>
      <c r="D374" s="418" t="n"/>
      <c r="E374" s="418" t="n"/>
      <c r="F374" s="418" t="n"/>
      <c r="G374" s="418" t="n"/>
      <c r="H374" s="418" t="n"/>
      <c r="I374" s="404">
        <f>SUM(E374:H374)</f>
        <v/>
      </c>
      <c r="J374" s="404" t="n"/>
      <c r="K374" s="404" t="n"/>
      <c r="L374" s="418" t="n"/>
      <c r="M374" s="488" t="n"/>
      <c r="N374" s="488" t="inlineStr">
        <is>
          <t>geometry</t>
        </is>
      </c>
      <c r="O374" s="488" t="n">
        <v>45</v>
      </c>
      <c r="P374" s="488" t="n">
        <v>5</v>
      </c>
      <c r="Q374" s="297" t="inlineStr">
        <is>
          <t>p2</t>
        </is>
      </c>
    </row>
    <row r="375" ht="15.75" customHeight="1" s="279">
      <c r="A375" s="420" t="n"/>
      <c r="B375" s="475">
        <f>HYPERLINK("https://codeforces.com/gym/101917/problem/E", "CF101917-D12-E")</f>
        <v/>
      </c>
      <c r="C375" s="418" t="n"/>
      <c r="D375" s="418" t="n"/>
      <c r="E375" s="418" t="n"/>
      <c r="F375" s="418" t="n"/>
      <c r="G375" s="418" t="n"/>
      <c r="H375" s="418" t="n"/>
      <c r="I375" s="404">
        <f>SUM(E375:H375)</f>
        <v/>
      </c>
      <c r="J375" s="418" t="n"/>
      <c r="K375" s="418" t="n"/>
      <c r="L375" s="418" t="n"/>
      <c r="M375" s="420" t="n"/>
      <c r="N375" s="488" t="inlineStr">
        <is>
          <t>geometry, [ppl scared in contest, but easy]</t>
        </is>
      </c>
      <c r="O375" s="488" t="n">
        <v>45</v>
      </c>
      <c r="P375" s="488" t="n">
        <v>5</v>
      </c>
      <c r="Q375" s="297" t="inlineStr">
        <is>
          <t>p2</t>
        </is>
      </c>
    </row>
    <row r="376" ht="15.75" customHeight="1" s="279">
      <c r="A376" s="420" t="n"/>
      <c r="B376" s="475">
        <f>HYPERLINK("http://codeforces.com/contest/552/problem/D","CF552-D2-D")</f>
        <v/>
      </c>
      <c r="C376" s="418" t="n"/>
      <c r="D376" s="418" t="n"/>
      <c r="E376" s="418" t="n"/>
      <c r="F376" s="418" t="n"/>
      <c r="G376" s="418" t="n"/>
      <c r="H376" s="418" t="n"/>
      <c r="I376" s="404">
        <f>SUM(E376:H376)</f>
        <v/>
      </c>
      <c r="J376" s="418" t="n"/>
      <c r="K376" s="418" t="n"/>
      <c r="L376" s="418" t="n"/>
      <c r="M376" s="420" t="n"/>
      <c r="N376" s="488" t="inlineStr">
        <is>
          <t>geometry, bf, counting, treemaps</t>
        </is>
      </c>
      <c r="O376" s="488" t="n">
        <v>45</v>
      </c>
      <c r="P376" s="488" t="n">
        <v>5</v>
      </c>
      <c r="Q376" s="297" t="inlineStr">
        <is>
          <t>p2</t>
        </is>
      </c>
    </row>
    <row r="377" ht="15.75" customHeight="1" s="279">
      <c r="A377" s="420" t="n"/>
      <c r="B377" s="475">
        <f>HYPERLINK("https://github.com/racsosabe/CompetitiveProgramming/blob/master/CodeForces/CF1016-D2-E.cpp","CF1016-D2-E")</f>
        <v/>
      </c>
      <c r="C377" s="418" t="n"/>
      <c r="D377" s="418" t="n"/>
      <c r="E377" s="418" t="n"/>
      <c r="F377" s="418" t="n"/>
      <c r="G377" s="418" t="n"/>
      <c r="H377" s="418" t="n"/>
      <c r="I377" s="404">
        <f>SUM(E377:H377)</f>
        <v/>
      </c>
      <c r="J377" s="404" t="n"/>
      <c r="K377" s="404" t="n"/>
      <c r="L377" s="418" t="n"/>
      <c r="M377" s="488" t="n"/>
      <c r="N377" s="488" t="inlineStr">
        <is>
          <t>geometry, binary search</t>
        </is>
      </c>
      <c r="O377" s="488" t="n">
        <v>45</v>
      </c>
      <c r="P377" s="488" t="n">
        <v>5</v>
      </c>
      <c r="Q377" s="297" t="inlineStr">
        <is>
          <t>p2</t>
        </is>
      </c>
    </row>
    <row r="378" ht="15.75" customHeight="1" s="279">
      <c r="A378" s="420" t="n"/>
      <c r="B378" s="475">
        <f>HYPERLINK("http://codeforces.com/contest/1058/problem/D","CF1058-D2-D")</f>
        <v/>
      </c>
      <c r="C378" s="418" t="n"/>
      <c r="D378" s="418" t="n"/>
      <c r="E378" s="418" t="n"/>
      <c r="F378" s="418" t="n"/>
      <c r="G378" s="418" t="n"/>
      <c r="H378" s="418" t="n"/>
      <c r="I378" s="404">
        <f>SUM(E378:H378)</f>
        <v/>
      </c>
      <c r="J378" s="418" t="n"/>
      <c r="K378" s="418" t="n"/>
      <c r="L378" s="418" t="n"/>
      <c r="M378" s="420" t="n"/>
      <c r="N378" s="488" t="inlineStr">
        <is>
          <t>geometry, triangles, number theory</t>
        </is>
      </c>
      <c r="O378" s="488" t="n">
        <v>45</v>
      </c>
      <c r="P378" s="488" t="n">
        <v>5</v>
      </c>
      <c r="Q378" s="297" t="inlineStr">
        <is>
          <t>p2</t>
        </is>
      </c>
    </row>
    <row r="379" ht="15.75" customHeight="1" s="279">
      <c r="A379" s="420" t="n"/>
      <c r="B379" s="420" t="inlineStr">
        <is>
          <t>UVA 1342</t>
        </is>
      </c>
      <c r="C379" s="418" t="n"/>
      <c r="D379" s="418" t="n"/>
      <c r="E379" s="418" t="n"/>
      <c r="F379" s="418" t="n"/>
      <c r="G379" s="418" t="n"/>
      <c r="H379" s="418" t="n"/>
      <c r="I379" s="404">
        <f>SUM(E379:H379)</f>
        <v/>
      </c>
      <c r="J379" s="418" t="n"/>
      <c r="K379" s="418" t="n"/>
      <c r="L379" s="512" t="n"/>
      <c r="M379" s="493">
        <f>HYPERLINK("https://github.com/morris821028/UVa/blob/master/volume013/1342%20-%20That%20Nice%20Euler%20Circuit.cpp","Sol")</f>
        <v/>
      </c>
      <c r="N379" s="488" t="inlineStr">
        <is>
          <t>geometry, plane graph</t>
        </is>
      </c>
      <c r="O379" s="488" t="n">
        <v>45</v>
      </c>
      <c r="P379" s="488" t="n">
        <v>5</v>
      </c>
    </row>
    <row r="380" ht="15.75" customHeight="1" s="279">
      <c r="A380" s="420" t="n"/>
      <c r="B380" s="475">
        <f>HYPERLINK("http://codeforces.com/gym/101864/problem/L","CF101864-GYM-L")</f>
        <v/>
      </c>
      <c r="C380" s="418" t="n"/>
      <c r="D380" s="418" t="n"/>
      <c r="E380" s="418" t="n"/>
      <c r="F380" s="418" t="n"/>
      <c r="G380" s="418" t="n"/>
      <c r="H380" s="418" t="n"/>
      <c r="I380" s="404">
        <f>SUM(E380:H380)</f>
        <v/>
      </c>
      <c r="J380" s="404" t="n"/>
      <c r="K380" s="404" t="n"/>
      <c r="L380" s="512" t="n"/>
      <c r="M380" s="493">
        <f>HYPERLINK("https://github.com/SpeedOfMagic/CompetitiveProgramming/blob/master/CodeforcesGym/CF101864-GYM-L.cpp","Sol")</f>
        <v/>
      </c>
      <c r="N380" s="488" t="inlineStr">
        <is>
          <t>geometry, binary search or bf, greedy</t>
        </is>
      </c>
      <c r="O380" s="488" t="n">
        <v>45</v>
      </c>
      <c r="P380" s="488" t="n">
        <v>5.5</v>
      </c>
      <c r="Q380" s="297" t="inlineStr">
        <is>
          <t>p3</t>
        </is>
      </c>
    </row>
    <row r="381" ht="15.75" customHeight="1" s="279">
      <c r="A381" s="420" t="n"/>
      <c r="B381" s="475">
        <f>HYPERLINK("http://codeforces.com/contest/80/problem/D","CF80-D2-D")</f>
        <v/>
      </c>
      <c r="C381" s="418" t="n"/>
      <c r="D381" s="418" t="n"/>
      <c r="E381" s="418" t="n"/>
      <c r="F381" s="418" t="n"/>
      <c r="G381" s="418" t="n"/>
      <c r="H381" s="418" t="n"/>
      <c r="I381" s="404">
        <f>SUM(E381:H381)</f>
        <v/>
      </c>
      <c r="J381" s="418" t="n"/>
      <c r="K381" s="418" t="n"/>
      <c r="L381" s="418" t="n"/>
      <c r="M381" s="488" t="n"/>
      <c r="N381" s="488" t="inlineStr">
        <is>
          <t>geometry, probability or algebra</t>
        </is>
      </c>
      <c r="O381" s="488" t="n">
        <v>45</v>
      </c>
      <c r="P381" s="488" t="n">
        <v>5.5</v>
      </c>
      <c r="Q381" s="297" t="inlineStr">
        <is>
          <t>p2</t>
        </is>
      </c>
    </row>
    <row r="382" ht="15.75" customHeight="1" s="279">
      <c r="A382" s="420" t="n"/>
      <c r="B382" s="420" t="inlineStr">
        <is>
          <t>UVA 11648</t>
        </is>
      </c>
      <c r="C382" s="418" t="n"/>
      <c r="D382" s="418" t="n"/>
      <c r="E382" s="418" t="n"/>
      <c r="F382" s="418" t="n"/>
      <c r="G382" s="418" t="n"/>
      <c r="H382" s="418" t="n"/>
      <c r="I382" s="404">
        <f>SUM(E382:H382)</f>
        <v/>
      </c>
      <c r="J382" s="404" t="n"/>
      <c r="K382" s="404" t="n"/>
      <c r="L382" s="512" t="n"/>
      <c r="M382" s="493">
        <f>HYPERLINK("https://github.com/mostafa-saad/MyCompetitiveProgramming/blob/master/UVA/UVA_11648.txt", "Sol")</f>
        <v/>
      </c>
      <c r="N382" s="488" t="inlineStr">
        <is>
          <t>geometry, trapezoid formula, binary search or analytical</t>
        </is>
      </c>
      <c r="O382" s="488" t="n">
        <v>45</v>
      </c>
      <c r="P382" s="488" t="n">
        <v>6</v>
      </c>
      <c r="Q382" s="297" t="inlineStr">
        <is>
          <t>p2</t>
        </is>
      </c>
    </row>
    <row r="383" ht="15.75" customHeight="1" s="279">
      <c r="A383" s="420" t="n"/>
      <c r="B383" s="420" t="inlineStr">
        <is>
          <t>UVA 1333</t>
        </is>
      </c>
      <c r="C383" s="418" t="n"/>
      <c r="D383" s="418" t="n"/>
      <c r="E383" s="418" t="n"/>
      <c r="F383" s="418" t="n"/>
      <c r="G383" s="418" t="n"/>
      <c r="H383" s="418" t="n"/>
      <c r="I383" s="404">
        <f>SUM(E383:H383)</f>
        <v/>
      </c>
      <c r="J383" s="418" t="n"/>
      <c r="K383" s="418" t="n"/>
      <c r="L383" s="418" t="n"/>
      <c r="M383" s="493">
        <f>HYPERLINK("https://github.com/mostafa-saad/MyCompetitiveProgramming/blob/master/UVA/UVA_1333.txt","Sol - Text/Background Clarification")</f>
        <v/>
      </c>
      <c r="N383" s="488" t="inlineStr">
        <is>
          <t>geometry, triangles, angles, parallelogram law, quadratic equations</t>
        </is>
      </c>
      <c r="O383" s="488" t="n">
        <v>45</v>
      </c>
      <c r="P383" s="488" t="n">
        <v>6</v>
      </c>
      <c r="Q383" s="297" t="inlineStr">
        <is>
          <t>p1</t>
        </is>
      </c>
    </row>
    <row r="384" ht="15.75" customHeight="1" s="279">
      <c r="A384" s="420" t="inlineStr">
        <is>
          <t>Hit Ball</t>
        </is>
      </c>
      <c r="B384" s="475">
        <f>HYPERLINK("http://codeforces.com/contest/203/problem/D","CF203-D2-D")</f>
        <v/>
      </c>
      <c r="C384" s="418" t="n"/>
      <c r="D384" s="418" t="n"/>
      <c r="E384" s="418" t="n"/>
      <c r="F384" s="418" t="n"/>
      <c r="G384" s="418" t="n"/>
      <c r="H384" s="418" t="n"/>
      <c r="I384" s="404">
        <f>SUM(E384:H384)</f>
        <v/>
      </c>
      <c r="J384" s="404" t="n"/>
      <c r="K384" s="404" t="n"/>
      <c r="L384" s="512" t="n"/>
      <c r="M384" s="488" t="n"/>
      <c r="N384" s="488" t="inlineStr">
        <is>
          <t>geometry, 3d, impl, math, [physics, kinematics]</t>
        </is>
      </c>
      <c r="O384" s="488" t="n">
        <v>46</v>
      </c>
      <c r="P384" s="488" t="n">
        <v>5</v>
      </c>
      <c r="Q384" s="297" t="inlineStr">
        <is>
          <t>p2</t>
        </is>
      </c>
    </row>
    <row r="385" ht="15.75" customHeight="1" s="279">
      <c r="A385" s="420" t="n"/>
      <c r="B385" s="420" t="inlineStr">
        <is>
          <t>UVA 453</t>
        </is>
      </c>
      <c r="C385" s="418" t="n"/>
      <c r="D385" s="418" t="n"/>
      <c r="E385" s="418" t="n"/>
      <c r="F385" s="418" t="n"/>
      <c r="G385" s="418" t="n"/>
      <c r="H385" s="418" t="n"/>
      <c r="I385" s="404">
        <f>SUM(E385:H385)</f>
        <v/>
      </c>
      <c r="J385" s="418" t="n"/>
      <c r="K385" s="418" t="n"/>
      <c r="L385" s="418" t="n"/>
      <c r="M385" s="421">
        <f>HYPERLINK("https://github.com/MeGaCrazy/CompetitiveProgramming/blob/c099628e643065a7bae09af22c4cbce1216e4db9/UVA/UVA_453.cpp","Learn Handling Precisions")</f>
        <v/>
      </c>
      <c r="N385" s="488" t="inlineStr">
        <is>
          <t>geometry, circles, [direct circle intersection, but precision]</t>
        </is>
      </c>
      <c r="O385" s="488" t="n">
        <v>47</v>
      </c>
      <c r="P385" s="488" t="n">
        <v>2</v>
      </c>
      <c r="Q385" s="304" t="n"/>
    </row>
    <row r="386" ht="15.75" customHeight="1" s="279">
      <c r="A386" s="420" t="inlineStr">
        <is>
          <t>Wifi Access</t>
        </is>
      </c>
      <c r="B386" s="475">
        <f>HYPERLINK("https://uva.onlinejudge.org/index.php?option=onlinejudge&amp;page=show_problem&amp;problem=4601","UVA 12748")</f>
        <v/>
      </c>
      <c r="C386" s="418" t="n"/>
      <c r="D386" s="418" t="n"/>
      <c r="E386" s="418" t="n"/>
      <c r="F386" s="418" t="n"/>
      <c r="G386" s="418" t="n"/>
      <c r="H386" s="418" t="n"/>
      <c r="I386" s="404">
        <f>SUM(E386:H386)</f>
        <v/>
      </c>
      <c r="J386" s="404" t="n"/>
      <c r="K386" s="404" t="n"/>
      <c r="L386" s="418" t="n"/>
      <c r="M386" s="493">
        <f>HYPERLINK("https://github.com/MeGaCrazy/CompetitiveProgramming/blob/29ebad1d90e70a17ac4e646e5f049b980fb777de/UVA/UVA_12748.cpp","Sol")</f>
        <v/>
      </c>
      <c r="N386" s="488" t="inlineStr">
        <is>
          <t>geometry, circles, distances</t>
        </is>
      </c>
      <c r="O386" s="488" t="n">
        <v>47</v>
      </c>
      <c r="P386" s="488" t="n">
        <v>2</v>
      </c>
    </row>
    <row r="387" ht="15.75" customHeight="1" s="279">
      <c r="A387" s="420" t="inlineStr">
        <is>
          <t>Rings and Glue</t>
        </is>
      </c>
      <c r="B387" s="475">
        <f>HYPERLINK("https://uva.onlinejudge.org/index.php?option=onlinejudge&amp;page=show_problem&amp;problem=1242","UVA 10301")</f>
        <v/>
      </c>
      <c r="C387" s="418" t="n"/>
      <c r="D387" s="418" t="n"/>
      <c r="E387" s="418" t="n"/>
      <c r="F387" s="418" t="n"/>
      <c r="G387" s="418" t="n"/>
      <c r="H387" s="418" t="n"/>
      <c r="I387" s="404">
        <f>SUM(E387:H387)</f>
        <v/>
      </c>
      <c r="J387" s="404" t="n"/>
      <c r="K387" s="404" t="n"/>
      <c r="L387" s="418" t="n"/>
      <c r="M387" s="493">
        <f>HYPERLINK("https://github.com/MeGaCrazy/CompetitiveProgramming/blob/51252e18803855ed2eacedc50f53b90fe8d184e6/UVA/UVA_10301.cpp","Sol")</f>
        <v/>
      </c>
      <c r="N387" s="488" t="inlineStr">
        <is>
          <t>geometry, circles, dsu</t>
        </is>
      </c>
      <c r="O387" s="488" t="n">
        <v>47</v>
      </c>
      <c r="P387" s="488" t="n">
        <v>3</v>
      </c>
      <c r="Q387" s="297" t="inlineStr">
        <is>
          <t>p1</t>
        </is>
      </c>
    </row>
    <row r="388" ht="15.75" customHeight="1" s="279">
      <c r="A388" s="420" t="inlineStr">
        <is>
          <t>Square Pegs And Round Holes</t>
        </is>
      </c>
      <c r="B388" s="475">
        <f>HYPERLINK("https://uva.onlinejudge.org/index.php?option=onlinejudge&amp;page=show_problem&amp;problem=292","UVA 356")</f>
        <v/>
      </c>
      <c r="C388" s="418" t="n"/>
      <c r="D388" s="418" t="n"/>
      <c r="E388" s="418" t="n"/>
      <c r="F388" s="418" t="n"/>
      <c r="G388" s="418" t="n"/>
      <c r="H388" s="418" t="n"/>
      <c r="I388" s="404">
        <f>SUM(E388:H388)</f>
        <v/>
      </c>
      <c r="J388" s="404" t="n"/>
      <c r="K388" s="404" t="n"/>
      <c r="L388" s="418" t="n"/>
      <c r="M388" s="475">
        <f>HYPERLINK("https://github.com/AymanSalah96/CompetitiveProgramming/blob/master/UVA/356.cpp","Sol to read")</f>
        <v/>
      </c>
      <c r="N388" s="488" t="inlineStr">
        <is>
          <t>geometry, circles</t>
        </is>
      </c>
      <c r="O388" s="488" t="n">
        <v>47</v>
      </c>
      <c r="P388" s="488" t="n">
        <v>3</v>
      </c>
    </row>
    <row r="389" ht="15.75" customHeight="1" s="279">
      <c r="A389" s="420" t="inlineStr">
        <is>
          <t>The Circumference of the Circle</t>
        </is>
      </c>
      <c r="B389" s="475">
        <f>HYPERLINK("https://uva.onlinejudge.org/index.php?option=onlinejudge&amp;page=show_problem&amp;problem=379","UVA 438")</f>
        <v/>
      </c>
      <c r="C389" s="418" t="n"/>
      <c r="D389" s="418" t="n"/>
      <c r="E389" s="418" t="n"/>
      <c r="F389" s="418" t="n"/>
      <c r="G389" s="418" t="n"/>
      <c r="H389" s="418" t="n"/>
      <c r="I389" s="404">
        <f>SUM(E389:H389)</f>
        <v/>
      </c>
      <c r="J389" s="404" t="n"/>
      <c r="K389" s="404" t="n"/>
      <c r="L389" s="418" t="n"/>
      <c r="M389" s="493">
        <f>HYPERLINK("https://github.com/hosamk92/CompetitiveProgramming/blob/master/UVA/UVA%20438.cpp","Sol")</f>
        <v/>
      </c>
      <c r="N389" s="488" t="inlineStr">
        <is>
          <t>geometry, circles</t>
        </is>
      </c>
      <c r="O389" s="488" t="n">
        <v>47</v>
      </c>
      <c r="P389" s="488" t="n">
        <v>3</v>
      </c>
    </row>
    <row r="390" ht="15.75" customHeight="1" s="279">
      <c r="A390" s="420" t="inlineStr">
        <is>
          <t>Points in Figures: Rectangles and Circles</t>
        </is>
      </c>
      <c r="B390" s="475">
        <f>HYPERLINK("https://uva.onlinejudge.org/index.php?option=com_onlinejudge&amp;Itemid=8&amp;page=show_problem&amp;problem=418","UVA 477")</f>
        <v/>
      </c>
      <c r="C390" s="418" t="n"/>
      <c r="D390" s="418" t="n"/>
      <c r="E390" s="418" t="n"/>
      <c r="F390" s="418" t="n"/>
      <c r="G390" s="418" t="n"/>
      <c r="H390" s="418" t="n"/>
      <c r="I390" s="404">
        <f>SUM(E390:H390)</f>
        <v/>
      </c>
      <c r="J390" s="404" t="n"/>
      <c r="K390" s="404" t="n"/>
      <c r="L390" s="418" t="n"/>
      <c r="M390" s="493">
        <f>HYPERLINK("https://github.com/MeGaCrazy/CompetitiveProgramming/blob/5343b4e1aabd67db25a4864de4eb81eb094709e3/UVA/UVA_477.cpp","Sol")</f>
        <v/>
      </c>
      <c r="N390" s="488" t="inlineStr">
        <is>
          <t>geometry, circles</t>
        </is>
      </c>
      <c r="O390" s="488" t="n">
        <v>47</v>
      </c>
      <c r="P390" s="488" t="n">
        <v>3.5</v>
      </c>
    </row>
    <row r="391" ht="15.75" customHeight="1" s="279">
      <c r="A391" s="420" t="inlineStr">
        <is>
          <t>Special Olympics</t>
        </is>
      </c>
      <c r="B391" s="475">
        <f>HYPERLINK("http://codeforces.com/contest/199/problem/B","CF199-D2-B")</f>
        <v/>
      </c>
      <c r="C391" s="418" t="n"/>
      <c r="D391" s="418" t="n"/>
      <c r="E391" s="418" t="n"/>
      <c r="F391" s="418" t="n"/>
      <c r="G391" s="418" t="n"/>
      <c r="H391" s="418" t="n"/>
      <c r="I391" s="404">
        <f>SUM(E391:H391)</f>
        <v/>
      </c>
      <c r="J391" s="404" t="n"/>
      <c r="K391" s="404" t="n"/>
      <c r="L391" s="418" t="n"/>
      <c r="M391" s="420" t="n"/>
      <c r="N391" s="488" t="inlineStr">
        <is>
          <t>geometry, circles, impl</t>
        </is>
      </c>
      <c r="O391" s="488" t="n">
        <v>47</v>
      </c>
      <c r="P391" s="488" t="n">
        <v>4</v>
      </c>
      <c r="Q391" s="304" t="n"/>
    </row>
    <row r="392" ht="15.75" customHeight="1" s="279">
      <c r="A392" s="420" t="inlineStr">
        <is>
          <t>Biathlon</t>
        </is>
      </c>
      <c r="B392" s="475">
        <f>HYPERLINK("http://codeforces.com/contest/84/problem/C","CF84-D2-C")</f>
        <v/>
      </c>
      <c r="C392" s="418" t="n"/>
      <c r="D392" s="418" t="n"/>
      <c r="E392" s="418" t="n"/>
      <c r="F392" s="418" t="n"/>
      <c r="G392" s="418" t="n"/>
      <c r="H392" s="418" t="n"/>
      <c r="I392" s="404">
        <f>SUM(E392:H392)</f>
        <v/>
      </c>
      <c r="J392" s="404" t="n"/>
      <c r="K392" s="404" t="n"/>
      <c r="L392" s="418" t="n"/>
      <c r="M392" s="488" t="n"/>
      <c r="N392" s="488" t="inlineStr">
        <is>
          <t>geometry, circles, impl</t>
        </is>
      </c>
      <c r="O392" s="488" t="n">
        <v>47</v>
      </c>
      <c r="P392" s="488" t="n">
        <v>4</v>
      </c>
    </row>
    <row r="393" ht="15.75" customHeight="1" s="279">
      <c r="A393" s="420" t="inlineStr">
        <is>
          <t>Packing polygons</t>
        </is>
      </c>
      <c r="B393" s="475">
        <f>HYPERLINK("https://uva.onlinejudge.org/index.php?option=onlinejudge&amp;page=show_problem&amp;problem=946","UVA 10005")</f>
        <v/>
      </c>
      <c r="C393" s="418" t="n"/>
      <c r="D393" s="418" t="n"/>
      <c r="E393" s="418" t="n"/>
      <c r="F393" s="418" t="n"/>
      <c r="G393" s="418" t="n"/>
      <c r="H393" s="418" t="n"/>
      <c r="I393" s="404">
        <f>SUM(E393:H393)</f>
        <v/>
      </c>
      <c r="J393" s="404" t="n"/>
      <c r="K393" s="404" t="n"/>
      <c r="L393" s="512" t="n"/>
      <c r="M393" s="493">
        <f>HYPERLINK("https://github.com/mostafa-saad/MyCompetitiveProgramming/blob/master/UVA/UVA_10005.txt","Sol")</f>
        <v/>
      </c>
      <c r="N393" s="488" t="inlineStr">
        <is>
          <t>geometry, circles, polygon, [polyon inside poly]</t>
        </is>
      </c>
      <c r="O393" s="488" t="n">
        <v>47</v>
      </c>
      <c r="P393" s="488" t="n">
        <v>5</v>
      </c>
      <c r="Q393" s="297" t="inlineStr">
        <is>
          <t>p4</t>
        </is>
      </c>
    </row>
    <row r="394" ht="15.75" customHeight="1" s="279">
      <c r="A394" s="420" t="n"/>
      <c r="B394" s="420" t="inlineStr">
        <is>
          <t>SRM473-D1-500</t>
        </is>
      </c>
      <c r="C394" s="418" t="n"/>
      <c r="D394" s="418" t="n"/>
      <c r="E394" s="418" t="n"/>
      <c r="F394" s="418" t="n"/>
      <c r="G394" s="418" t="n"/>
      <c r="H394" s="418" t="n"/>
      <c r="I394" s="404">
        <f>SUM(E394:H394)</f>
        <v/>
      </c>
      <c r="J394" s="418" t="n"/>
      <c r="K394" s="418" t="n"/>
      <c r="L394" s="418" t="n"/>
      <c r="M394" s="488" t="n"/>
      <c r="N394" s="488" t="inlineStr">
        <is>
          <t>geometry, circles, triangles, thales' theorem, search</t>
        </is>
      </c>
      <c r="O394" s="488" t="n">
        <v>47</v>
      </c>
      <c r="P394" s="488" t="n">
        <v>5</v>
      </c>
      <c r="Q394" s="297" t="inlineStr">
        <is>
          <t>p3</t>
        </is>
      </c>
    </row>
    <row r="395" ht="15.75" customHeight="1" s="279">
      <c r="A395" s="420" t="n"/>
      <c r="B395" s="475">
        <f>HYPERLINK("http://www.spoj.com/problems/ALIENS/","SPOJ ALIENS")</f>
        <v/>
      </c>
      <c r="C395" s="418" t="n"/>
      <c r="D395" s="418" t="n"/>
      <c r="E395" s="418" t="n"/>
      <c r="F395" s="418" t="n"/>
      <c r="G395" s="418" t="n"/>
      <c r="H395" s="418" t="n"/>
      <c r="I395" s="404">
        <f>SUM(E395:H395)</f>
        <v/>
      </c>
      <c r="J395" s="404" t="n"/>
      <c r="K395" s="404" t="n"/>
      <c r="L395" s="418" t="n"/>
      <c r="M395" s="493">
        <f>HYPERLINK("https://github.com/mostafa-saad/MyCompetitiveProgramming/blob/master/SPOJ/SPOJ_ALIENS.txt","Sol - Practice on min enclosing circle")</f>
        <v/>
      </c>
      <c r="N395" s="488" t="inlineStr">
        <is>
          <t>geometry, circles, min enclosing circle, [=spoj qcj4]</t>
        </is>
      </c>
      <c r="O395" s="488" t="n">
        <v>47</v>
      </c>
      <c r="P395" s="488" t="n">
        <v>5</v>
      </c>
      <c r="Q395" s="297" t="inlineStr">
        <is>
          <t>p2</t>
        </is>
      </c>
    </row>
    <row r="396" ht="15.75" customHeight="1" s="279">
      <c r="A396" s="420" t="n"/>
      <c r="B396" s="475">
        <f>HYPERLINK("https://codeforces.com/contest/1059/problem/D","CF1059-D2-D")</f>
        <v/>
      </c>
      <c r="C396" s="418" t="n"/>
      <c r="D396" s="418" t="n"/>
      <c r="E396" s="418" t="n"/>
      <c r="F396" s="418" t="n"/>
      <c r="G396" s="418" t="n"/>
      <c r="H396" s="418" t="n"/>
      <c r="I396" s="404">
        <f>SUM(E396:H396)</f>
        <v/>
      </c>
      <c r="J396" s="418" t="n"/>
      <c r="K396" s="418" t="n"/>
      <c r="L396" s="512" t="n"/>
      <c r="M396" s="420" t="n"/>
      <c r="N396" s="488" t="inlineStr">
        <is>
          <t>geometry, circles, binay search</t>
        </is>
      </c>
      <c r="O396" s="488" t="n">
        <v>47</v>
      </c>
      <c r="P396" s="488" t="n">
        <v>5.25</v>
      </c>
      <c r="Q396" s="297" t="inlineStr">
        <is>
          <t>p3</t>
        </is>
      </c>
    </row>
    <row r="397" ht="15.75" customHeight="1" s="279">
      <c r="A397" s="420" t="n"/>
      <c r="B397" s="475">
        <f>HYPERLINK("https://www.hackerrank.com/challenges/house-location","HACKR house-location")</f>
        <v/>
      </c>
      <c r="C397" s="418" t="n"/>
      <c r="D397" s="418" t="n"/>
      <c r="E397" s="418" t="n"/>
      <c r="F397" s="418" t="n"/>
      <c r="G397" s="418" t="n"/>
      <c r="H397" s="418" t="n"/>
      <c r="I397" s="404">
        <f>SUM(E397:H397)</f>
        <v/>
      </c>
      <c r="J397" s="418" t="n"/>
      <c r="K397" s="418" t="n"/>
      <c r="L397" s="418" t="n"/>
      <c r="M397" s="493">
        <f>HYPERLINK("https://github.com/arvindr9/CompetitiveProgramming/blob/master/Hackerrank/HACKR%20house-location.cpp","Sol")</f>
        <v/>
      </c>
      <c r="N397" s="488" t="inlineStr">
        <is>
          <t>geometry, circles, algebra, impl</t>
        </is>
      </c>
      <c r="O397" s="488" t="n">
        <v>47</v>
      </c>
      <c r="P397" s="488" t="n">
        <v>5.5</v>
      </c>
      <c r="Q397" s="297" t="inlineStr">
        <is>
          <t>p3</t>
        </is>
      </c>
    </row>
    <row r="398" ht="15.75" customHeight="1" s="279">
      <c r="A398" s="420" t="n"/>
      <c r="B398" s="420" t="inlineStr">
        <is>
          <t>UVA 10180</t>
        </is>
      </c>
      <c r="C398" s="418" t="n"/>
      <c r="D398" s="418" t="n"/>
      <c r="E398" s="418" t="n"/>
      <c r="F398" s="418" t="n"/>
      <c r="G398" s="418" t="n"/>
      <c r="H398" s="418" t="n"/>
      <c r="I398" s="404">
        <f>SUM(E398:H398)</f>
        <v/>
      </c>
      <c r="J398" s="418" t="n"/>
      <c r="K398" s="418" t="n"/>
      <c r="L398" s="418" t="n"/>
      <c r="M398" s="493">
        <f>HYPERLINK("https://github.com/OmarHashim/Competitive-Programming/blob/master/UVA/10180.cpp","Sol")</f>
        <v/>
      </c>
      <c r="N398" s="488" t="inlineStr">
        <is>
          <t>geometry, circles, tangents, point on segment, precision</t>
        </is>
      </c>
      <c r="O398" s="488" t="n">
        <v>47</v>
      </c>
      <c r="P398" s="488" t="n">
        <v>5.5</v>
      </c>
      <c r="Q398" s="297" t="inlineStr">
        <is>
          <t>p2</t>
        </is>
      </c>
    </row>
    <row r="399" ht="15.75" customHeight="1" s="279">
      <c r="A399" s="420" t="inlineStr">
        <is>
          <t>Railway</t>
        </is>
      </c>
      <c r="B399" s="475">
        <f>HYPERLINK("https://uva.onlinejudge.org/index.php?option=onlinejudge&amp;page=show_problem&amp;problem=1204","UVA 10263")</f>
        <v/>
      </c>
      <c r="C399" s="418" t="n"/>
      <c r="D399" s="418" t="n"/>
      <c r="E399" s="418" t="n"/>
      <c r="F399" s="418" t="n"/>
      <c r="G399" s="418" t="n"/>
      <c r="H399" s="418" t="n"/>
      <c r="I399" s="404">
        <f>SUM(E399:H399)</f>
        <v/>
      </c>
      <c r="J399" s="404" t="n"/>
      <c r="K399" s="404" t="n"/>
      <c r="L399" s="418" t="n"/>
      <c r="M399" s="475">
        <f>HYPERLINK("https://github.com/MohamedNabil97/CompetitiveProgramming/blob/master/UVA/10263.cpp","Sol to read")</f>
        <v/>
      </c>
      <c r="N399" s="488" t="inlineStr">
        <is>
          <t>geometry, lines, distances, [=uva 460]</t>
        </is>
      </c>
      <c r="O399" s="488" t="n">
        <v>48</v>
      </c>
      <c r="P399" s="488" t="n">
        <v>3</v>
      </c>
      <c r="Q399" s="297" t="inlineStr">
        <is>
          <t>p3</t>
        </is>
      </c>
    </row>
    <row r="400" ht="15.75" customHeight="1" s="279">
      <c r="A400" s="420" t="inlineStr">
        <is>
          <t>Lining Up</t>
        </is>
      </c>
      <c r="B400" s="475">
        <f>HYPERLINK("https://uva.onlinejudge.org/index.php?option=com_onlinejudge&amp;Itemid=8&amp;page=show_problem&amp;problem=206","UVA 270")</f>
        <v/>
      </c>
      <c r="C400" s="418" t="n"/>
      <c r="D400" s="418" t="n"/>
      <c r="E400" s="418" t="n"/>
      <c r="F400" s="418" t="n"/>
      <c r="G400" s="418" t="n"/>
      <c r="H400" s="418" t="n"/>
      <c r="I400" s="404">
        <f>SUM(E400:H400)</f>
        <v/>
      </c>
      <c r="J400" s="404" t="n"/>
      <c r="K400" s="404" t="n"/>
      <c r="L400" s="418" t="n"/>
      <c r="M400" s="421">
        <f>HYPERLINK("https://www.youtube.com/watch?v=EbB6g4GuNrQ","Video Solution - Eng Mohamed Nasser. Don't Code O(N^3)")</f>
        <v/>
      </c>
      <c r="N400" s="488" t="inlineStr">
        <is>
          <t>geometry, lines, line up</t>
        </is>
      </c>
      <c r="O400" s="488" t="n">
        <v>48</v>
      </c>
      <c r="P400" s="488" t="n">
        <v>3</v>
      </c>
      <c r="Q400" s="297" t="inlineStr">
        <is>
          <t>p3</t>
        </is>
      </c>
    </row>
    <row r="401" ht="15.75" customHeight="1" s="279">
      <c r="A401" s="420" t="inlineStr">
        <is>
          <t>Campus Roads</t>
        </is>
      </c>
      <c r="B401" s="475">
        <f>HYPERLINK("https://uva.onlinejudge.org/index.php?option=onlinejudge&amp;page=show_problem&amp;problem=2468","UVA 11473")</f>
        <v/>
      </c>
      <c r="C401" s="418" t="n"/>
      <c r="D401" s="418" t="n"/>
      <c r="E401" s="418" t="n"/>
      <c r="F401" s="418" t="n"/>
      <c r="G401" s="418" t="n"/>
      <c r="H401" s="418" t="n"/>
      <c r="I401" s="404">
        <f>SUM(E401:H401)</f>
        <v/>
      </c>
      <c r="J401" s="404" t="n"/>
      <c r="K401" s="404" t="n"/>
      <c r="L401" s="512" t="n"/>
      <c r="M401" s="493">
        <f>HYPERLINK("https://github.com/osamahatem/CompetitiveProgramming/blob/master/UVA/11473%20-%20Campus%20Roads.cpp","Sol")</f>
        <v/>
      </c>
      <c r="N401" s="488" t="inlineStr">
        <is>
          <t>geometry, lines, distances, impl</t>
        </is>
      </c>
      <c r="O401" s="488" t="n">
        <v>48</v>
      </c>
      <c r="P401" s="488" t="n">
        <v>3</v>
      </c>
      <c r="Q401" s="297" t="inlineStr">
        <is>
          <t>p2</t>
        </is>
      </c>
    </row>
    <row r="402" ht="15.75" customHeight="1" s="279">
      <c r="A402" s="420" t="inlineStr">
        <is>
          <t>Polyline</t>
        </is>
      </c>
      <c r="B402" s="475">
        <f>HYPERLINK("http://codeforces.com/contest/617/problem/D","CF617-D2-D")</f>
        <v/>
      </c>
      <c r="C402" s="418" t="n"/>
      <c r="D402" s="418" t="n"/>
      <c r="E402" s="418" t="n"/>
      <c r="F402" s="418" t="n"/>
      <c r="G402" s="418" t="n"/>
      <c r="H402" s="418" t="n"/>
      <c r="I402" s="404">
        <f>SUM(E402:H402)</f>
        <v/>
      </c>
      <c r="J402" s="418" t="n"/>
      <c r="K402" s="418" t="n"/>
      <c r="L402" s="418" t="n"/>
      <c r="M402" s="420" t="n"/>
      <c r="N402" s="488" t="inlineStr">
        <is>
          <t>geometry, lines, impl</t>
        </is>
      </c>
      <c r="O402" s="488" t="n">
        <v>48</v>
      </c>
      <c r="P402" s="488" t="n">
        <v>3</v>
      </c>
    </row>
    <row r="403" ht="15.75" customHeight="1" s="279">
      <c r="A403" s="420" t="inlineStr">
        <is>
          <t>Jack Straws</t>
        </is>
      </c>
      <c r="B403" s="475">
        <f>HYPERLINK("https://uva.onlinejudge.org/index.php?option=com_onlinejudge&amp;Itemid=8&amp;page=show_problem&amp;problem=209","UVA 273")</f>
        <v/>
      </c>
      <c r="C403" s="418" t="n"/>
      <c r="D403" s="418" t="n"/>
      <c r="E403" s="418" t="n"/>
      <c r="F403" s="418" t="n"/>
      <c r="G403" s="418" t="n"/>
      <c r="H403" s="418" t="n"/>
      <c r="I403" s="404">
        <f>SUM(E403:H403)</f>
        <v/>
      </c>
      <c r="J403" s="418" t="n"/>
      <c r="K403" s="418" t="n"/>
      <c r="L403" s="418" t="n"/>
      <c r="M403" s="493">
        <f>HYPERLINK("https://github.com/MeGaCrazy/CompetitiveProgramming/blob/6c8e6d79950bbe406f56e3b990159810fcca7431/UVA/UVA_273.cpp","Sol")</f>
        <v/>
      </c>
      <c r="N403" s="488" t="inlineStr">
        <is>
          <t>geometry, lines, intersection, shortest path</t>
        </is>
      </c>
      <c r="O403" s="488" t="n">
        <v>48</v>
      </c>
      <c r="P403" s="488" t="n">
        <v>3</v>
      </c>
    </row>
    <row r="404" ht="15.75" customHeight="1" s="279">
      <c r="A404" s="420" t="inlineStr">
        <is>
          <t>Isolated Segments</t>
        </is>
      </c>
      <c r="B404" s="475">
        <f>HYPERLINK("https://uva.onlinejudge.org/index.php?option=com_onlinejudge&amp;Itemid=8&amp;page=show_problem&amp;problem=2318","UVA 11343")</f>
        <v/>
      </c>
      <c r="C404" s="418" t="n"/>
      <c r="D404" s="418" t="n"/>
      <c r="E404" s="418" t="n"/>
      <c r="F404" s="418" t="n"/>
      <c r="G404" s="418" t="n"/>
      <c r="H404" s="418" t="n"/>
      <c r="I404" s="404">
        <f>SUM(E404:H404)</f>
        <v/>
      </c>
      <c r="J404" s="404" t="n"/>
      <c r="K404" s="404" t="n"/>
      <c r="L404" s="418" t="n"/>
      <c r="M404" s="493">
        <f>HYPERLINK("https://github.com/hosamk92/CompetitiveProgramming/blob/master/UVA/UVA%2011343.cpp","Sol")</f>
        <v/>
      </c>
      <c r="N404" s="488" t="inlineStr">
        <is>
          <t>geometry, lines, intersections</t>
        </is>
      </c>
      <c r="O404" s="488" t="n">
        <v>48</v>
      </c>
      <c r="P404" s="488" t="n">
        <v>3</v>
      </c>
    </row>
    <row r="405" ht="15.75" customHeight="1" s="279">
      <c r="A405" s="420" t="inlineStr">
        <is>
          <t>Intersecting Lines</t>
        </is>
      </c>
      <c r="B405" s="475">
        <f>HYPERLINK("https://uva.onlinejudge.org/index.php?option=com_onlinejudge&amp;Itemid=8&amp;page=show_problem&amp;problem=314","UVA 378")</f>
        <v/>
      </c>
      <c r="C405" s="418" t="n"/>
      <c r="D405" s="418" t="n"/>
      <c r="E405" s="418" t="n"/>
      <c r="F405" s="418" t="n"/>
      <c r="G405" s="418" t="n"/>
      <c r="H405" s="418" t="n"/>
      <c r="I405" s="404">
        <f>SUM(E405:H405)</f>
        <v/>
      </c>
      <c r="J405" s="404" t="n"/>
      <c r="K405" s="404" t="n"/>
      <c r="L405" s="418" t="n"/>
      <c r="M405" s="420" t="n"/>
      <c r="N405" s="488" t="inlineStr">
        <is>
          <t>geometry, lines</t>
        </is>
      </c>
      <c r="O405" s="488" t="n">
        <v>48</v>
      </c>
      <c r="P405" s="488" t="n">
        <v>3.5</v>
      </c>
    </row>
    <row r="406" ht="15.75" customHeight="1" s="279">
      <c r="A406" s="420" t="n"/>
      <c r="B406" s="420" t="inlineStr">
        <is>
          <t>SRM373-D2-1000</t>
        </is>
      </c>
      <c r="C406" s="418" t="n"/>
      <c r="D406" s="418" t="n"/>
      <c r="E406" s="418" t="n"/>
      <c r="F406" s="418" t="n"/>
      <c r="G406" s="418" t="n"/>
      <c r="H406" s="418" t="n"/>
      <c r="I406" s="404">
        <f>SUM(E406:H406)</f>
        <v/>
      </c>
      <c r="J406" s="418" t="n"/>
      <c r="K406" s="418" t="n"/>
      <c r="L406" s="512" t="n"/>
      <c r="M406" s="493">
        <f>HYPERLINK("https://github.com/AbdelrahmanRamadan/competitive-programming/blob/master/Topcoder/SRM373%20RectangleCrossings.cpp","Sol")</f>
        <v/>
      </c>
      <c r="N406" s="488" t="inlineStr">
        <is>
          <t>geometry, lines, lines intersection, rectangles, bf</t>
        </is>
      </c>
      <c r="O406" s="488" t="n">
        <v>48</v>
      </c>
      <c r="P406" s="488" t="n">
        <v>4</v>
      </c>
      <c r="Q406" s="304" t="n"/>
    </row>
    <row r="407" ht="15.75" customHeight="1" s="279">
      <c r="A407" s="420" t="inlineStr">
        <is>
          <t>Intersecting Line Segments</t>
        </is>
      </c>
      <c r="B407" s="475">
        <f>HYPERLINK("https://uva.onlinejudge.org/index.php?option=com_onlinejudge&amp;Itemid=8&amp;page=show_problem&amp;problem=807","UVA 866")</f>
        <v/>
      </c>
      <c r="C407" s="418" t="n"/>
      <c r="D407" s="418" t="n"/>
      <c r="E407" s="418" t="n"/>
      <c r="F407" s="418" t="n"/>
      <c r="G407" s="418" t="n"/>
      <c r="H407" s="418" t="n"/>
      <c r="I407" s="404">
        <f>SUM(E407:H407)</f>
        <v/>
      </c>
      <c r="J407" s="404" t="n"/>
      <c r="K407" s="404" t="n"/>
      <c r="L407" s="418" t="n"/>
      <c r="M407" s="493">
        <f>HYPERLINK("https://github.com/MeGaCrazy/CompetitiveProgramming/blob/master/UVA/UVA_866.cpp","Sol")</f>
        <v/>
      </c>
      <c r="N407" s="488" t="inlineStr">
        <is>
          <t>geometry, lines, intersections</t>
        </is>
      </c>
      <c r="O407" s="488" t="n">
        <v>48</v>
      </c>
      <c r="P407" s="488" t="n">
        <v>4</v>
      </c>
      <c r="Q407" s="304" t="n"/>
    </row>
    <row r="408" ht="15.75" customHeight="1" s="279">
      <c r="A408" s="420" t="n"/>
      <c r="B408" s="420" t="inlineStr">
        <is>
          <t>SRM368-D1-500</t>
        </is>
      </c>
      <c r="C408" s="418" t="n"/>
      <c r="D408" s="418" t="n"/>
      <c r="E408" s="418" t="n"/>
      <c r="F408" s="418" t="n"/>
      <c r="G408" s="418" t="n"/>
      <c r="H408" s="418" t="n"/>
      <c r="I408" s="404">
        <f>SUM(E408:H408)</f>
        <v/>
      </c>
      <c r="J408" s="418" t="n"/>
      <c r="K408" s="418" t="n"/>
      <c r="L408" s="512" t="n"/>
      <c r="M408" s="493">
        <f>HYPERLINK("https://github.com/AbdelrahmanRamadan/competitive-programming/blob/master/Topcoder/SRM368%20Jumping%20Board.cpp","Sol")</f>
        <v/>
      </c>
      <c r="N408" s="488" t="inlineStr">
        <is>
          <t>geometry, lines, polyline intersection, bf, na??</t>
        </is>
      </c>
      <c r="O408" s="488" t="n">
        <v>48</v>
      </c>
      <c r="P408" s="488" t="n">
        <v>4</v>
      </c>
      <c r="Q408" s="304" t="n"/>
    </row>
    <row r="409" ht="15.75" customHeight="1" s="279">
      <c r="A409" s="420" t="inlineStr">
        <is>
          <t>Gleaming the Cubes</t>
        </is>
      </c>
      <c r="B409" s="475">
        <f>HYPERLINK("https://uva.onlinejudge.org/index.php?option=onlinejudge&amp;page=show_problem&amp;problem=678","UVA 737")</f>
        <v/>
      </c>
      <c r="C409" s="418" t="n"/>
      <c r="D409" s="418" t="n"/>
      <c r="E409" s="418" t="n"/>
      <c r="F409" s="418" t="n"/>
      <c r="G409" s="418" t="n"/>
      <c r="H409" s="418" t="n"/>
      <c r="I409" s="404">
        <f>SUM(E409:H409)</f>
        <v/>
      </c>
      <c r="J409" s="404" t="n"/>
      <c r="K409" s="404" t="n"/>
      <c r="L409" s="418" t="n"/>
      <c r="M409" s="493">
        <f>HYPERLINK("https://github.com/mostafa-saad/MyCompetitiveProgramming/blob/master/UVA/UVA_737.txt","Sol")</f>
        <v/>
      </c>
      <c r="N409" s="488" t="inlineStr">
        <is>
          <t>geometry, lines, intersections</t>
        </is>
      </c>
      <c r="O409" s="488" t="n">
        <v>48</v>
      </c>
      <c r="P409" s="488" t="n">
        <v>4</v>
      </c>
      <c r="Q409" s="304" t="n"/>
    </row>
    <row r="410" ht="15.75" customHeight="1" s="279">
      <c r="A410" s="420" t="inlineStr">
        <is>
          <t>Water Falls</t>
        </is>
      </c>
      <c r="B410" s="475">
        <f>HYPERLINK("https://uva.onlinejudge.org/index.php?option=com_onlinejudge&amp;Itemid=8&amp;page=show_problem&amp;problem=774","UVA 833")</f>
        <v/>
      </c>
      <c r="C410" s="418" t="n"/>
      <c r="D410" s="418" t="n"/>
      <c r="E410" s="418" t="n"/>
      <c r="F410" s="418" t="n"/>
      <c r="G410" s="418" t="n"/>
      <c r="H410" s="418" t="n"/>
      <c r="I410" s="404">
        <f>SUM(E410:H410)</f>
        <v/>
      </c>
      <c r="J410" s="418" t="n"/>
      <c r="K410" s="418" t="n"/>
      <c r="L410" s="512" t="n"/>
      <c r="M410" s="493">
        <f>HYPERLINK("https://github.com/AbdelrahmanRamadan/competitive-programming/blob/master/Topcoder/SRM368%20Jumping%20Board.cpp","Sol")</f>
        <v/>
      </c>
      <c r="N410" s="488" t="inlineStr">
        <is>
          <t>geometry, lines, distances, adhoc</t>
        </is>
      </c>
      <c r="O410" s="488" t="n">
        <v>48</v>
      </c>
      <c r="P410" s="488" t="n">
        <v>4</v>
      </c>
      <c r="Q410" s="297" t="inlineStr">
        <is>
          <t>p3</t>
        </is>
      </c>
    </row>
    <row r="411" ht="15.75" customHeight="1" s="279">
      <c r="A411" s="420" t="inlineStr">
        <is>
          <t>How Many Points of ?</t>
        </is>
      </c>
      <c r="B411" s="475">
        <f>HYPERLINK("https://uva.onlinejudge.org/index.php?option=onlinejudge&amp;page=show_problem&amp;problem=1731","UVA 10790")</f>
        <v/>
      </c>
      <c r="C411" s="418" t="n"/>
      <c r="D411" s="418" t="n"/>
      <c r="E411" s="418" t="n"/>
      <c r="F411" s="418" t="n"/>
      <c r="G411" s="418" t="n"/>
      <c r="H411" s="418" t="n"/>
      <c r="I411" s="404">
        <f>SUM(E411:H411)</f>
        <v/>
      </c>
      <c r="J411" s="404" t="n"/>
      <c r="K411" s="404" t="n"/>
      <c r="L411" s="418" t="n"/>
      <c r="M411" s="493">
        <f>HYPERLINK("https://github.com/MeGaCrazy/CompetitiveProgramming/blob/5b920a5ddab614e30ea12e7e3a7da12267a203ec/UVA/UVA_10790.cpp","Sol")</f>
        <v/>
      </c>
      <c r="N411" s="488" t="inlineStr">
        <is>
          <t>geometry, lines, intersections, counting, formula, [incremental thinking]</t>
        </is>
      </c>
      <c r="O411" s="488" t="n">
        <v>48</v>
      </c>
      <c r="P411" s="488" t="n">
        <v>4</v>
      </c>
      <c r="Q411" s="297" t="inlineStr">
        <is>
          <t>p1</t>
        </is>
      </c>
    </row>
    <row r="412" ht="15.75" customHeight="1" s="279">
      <c r="A412" s="420" t="inlineStr">
        <is>
          <t>River Crossing</t>
        </is>
      </c>
      <c r="B412" s="420" t="inlineStr">
        <is>
          <t>UVA 10514</t>
        </is>
      </c>
      <c r="C412" s="418" t="n"/>
      <c r="D412" s="418" t="n"/>
      <c r="E412" s="418" t="n"/>
      <c r="F412" s="418" t="n"/>
      <c r="G412" s="418" t="n"/>
      <c r="H412" s="418" t="n"/>
      <c r="I412" s="404">
        <f>SUM(E412:H412)</f>
        <v/>
      </c>
      <c r="J412" s="418" t="n"/>
      <c r="K412" s="418" t="n"/>
      <c r="L412" s="512" t="n"/>
      <c r="M412" s="493">
        <f>HYPERLINK("https://github.com/mostafa-saad/MyCompetitiveProgramming/blob/master/UVA/UVA_10514.txt","Sol")</f>
        <v/>
      </c>
      <c r="N412" s="488" t="inlineStr">
        <is>
          <t>geometry, lines, distances, floyd</t>
        </is>
      </c>
      <c r="O412" s="488" t="n">
        <v>48</v>
      </c>
      <c r="P412" s="488" t="n">
        <v>5</v>
      </c>
    </row>
    <row r="413" ht="15.75" customHeight="1" s="279">
      <c r="A413" s="475">
        <f>HYPERLINK("https://community.topcoder.com/stat?c=problem_statement&amp;pm=5923&amp;rd=8075","BestTriangulation")</f>
        <v/>
      </c>
      <c r="B413" s="420" t="inlineStr">
        <is>
          <t>SRM278-D2-500</t>
        </is>
      </c>
      <c r="C413" s="418" t="n"/>
      <c r="D413" s="418" t="n"/>
      <c r="E413" s="418" t="n"/>
      <c r="F413" s="418" t="n"/>
      <c r="G413" s="418" t="n"/>
      <c r="H413" s="418" t="n"/>
      <c r="I413" s="404">
        <f>SUM(E413:H413)</f>
        <v/>
      </c>
      <c r="J413" s="404" t="n"/>
      <c r="K413" s="404" t="n"/>
      <c r="L413" s="418" t="n"/>
      <c r="M413" s="420" t="n"/>
      <c r="N413" s="488" t="inlineStr">
        <is>
          <t>geometry, polygon, area, [just triangle areas]</t>
        </is>
      </c>
      <c r="O413" s="488" t="n">
        <v>49</v>
      </c>
      <c r="P413" s="488" t="n">
        <v>2</v>
      </c>
    </row>
    <row r="414" ht="15.75" customHeight="1" s="279">
      <c r="A414" s="420" t="inlineStr">
        <is>
          <t>Triangle</t>
        </is>
      </c>
      <c r="B414" s="475">
        <f>HYPERLINK("http://codeforces.com/contest/408/problem/C","CF408-D2-C")</f>
        <v/>
      </c>
      <c r="C414" s="418" t="n"/>
      <c r="D414" s="418" t="n"/>
      <c r="E414" s="418" t="n"/>
      <c r="F414" s="418" t="n"/>
      <c r="G414" s="418" t="n"/>
      <c r="H414" s="418" t="n"/>
      <c r="I414" s="404">
        <f>SUM(E414:H414)</f>
        <v/>
      </c>
      <c r="J414" s="418" t="n"/>
      <c r="K414" s="418" t="n"/>
      <c r="L414" s="418" t="n"/>
      <c r="M414" s="420" t="n"/>
      <c r="N414" s="488" t="inlineStr">
        <is>
          <t>geometry, polygon</t>
        </is>
      </c>
      <c r="O414" s="488" t="n">
        <v>49</v>
      </c>
      <c r="P414" s="488" t="n">
        <v>4</v>
      </c>
    </row>
    <row r="415" ht="15.75" customHeight="1" s="279">
      <c r="A415" s="420" t="n"/>
      <c r="B415" s="420" t="inlineStr">
        <is>
          <t>UVA 11665</t>
        </is>
      </c>
      <c r="C415" s="418" t="n"/>
      <c r="D415" s="418" t="n"/>
      <c r="E415" s="418" t="n"/>
      <c r="F415" s="418" t="n"/>
      <c r="G415" s="418" t="n"/>
      <c r="H415" s="418" t="n"/>
      <c r="I415" s="404">
        <f>SUM(E415:H415)</f>
        <v/>
      </c>
      <c r="J415" s="404" t="n"/>
      <c r="K415" s="404" t="n"/>
      <c r="L415" s="512" t="n"/>
      <c r="M415" s="493">
        <f>HYPERLINK("https://github.com/AbdelrahmanRamadan/competitive-programming/blob/master/UVA/11665%20-%20Chinese%20Ink.cpp","Sol")</f>
        <v/>
      </c>
      <c r="N415" s="488" t="inlineStr">
        <is>
          <t>geometry, polygon, pip, polygons intersection, dsu</t>
        </is>
      </c>
      <c r="O415" s="488" t="n">
        <v>49</v>
      </c>
      <c r="P415" s="488" t="n">
        <v>4</v>
      </c>
    </row>
    <row r="416" ht="15.75" customHeight="1" s="279">
      <c r="A416" s="420" t="n"/>
      <c r="B416" s="420" t="inlineStr">
        <is>
          <t>TIMUS 1599</t>
        </is>
      </c>
      <c r="C416" s="418" t="n"/>
      <c r="D416" s="418" t="n"/>
      <c r="E416" s="418" t="n"/>
      <c r="F416" s="418" t="n"/>
      <c r="G416" s="418" t="n"/>
      <c r="H416" s="418" t="n"/>
      <c r="I416" s="404">
        <f>SUM(E416:H416)</f>
        <v/>
      </c>
      <c r="J416" s="404" t="n"/>
      <c r="K416" s="404" t="n"/>
      <c r="L416" s="512" t="n"/>
      <c r="M416" s="493">
        <f>HYPERLINK("https://github.com/AbdelrahmanRamadan/competitive-programming/blob/master/Timus/1599-Winding-Number.cpp","Sol")</f>
        <v/>
      </c>
      <c r="N416" s="488" t="inlineStr">
        <is>
          <t>geometry, polygon, pip, winding numbers, [precision: use int as possible, bad statement?]</t>
        </is>
      </c>
      <c r="O416" s="488" t="n">
        <v>49</v>
      </c>
      <c r="P416" s="488" t="n">
        <v>4.5</v>
      </c>
      <c r="Q416" s="297" t="inlineStr">
        <is>
          <t>p1</t>
        </is>
      </c>
    </row>
    <row r="417" ht="15.75" customHeight="1" s="279">
      <c r="A417" s="420" t="n"/>
      <c r="B417" s="420" t="inlineStr">
        <is>
          <t>UVA 881</t>
        </is>
      </c>
      <c r="C417" s="418" t="n"/>
      <c r="D417" s="418" t="n"/>
      <c r="E417" s="418" t="n"/>
      <c r="F417" s="418" t="n"/>
      <c r="G417" s="418" t="n"/>
      <c r="H417" s="418" t="n"/>
      <c r="I417" s="404">
        <f>SUM(E417:H417)</f>
        <v/>
      </c>
      <c r="J417" s="404" t="n"/>
      <c r="K417" s="404" t="n"/>
      <c r="L417" s="512" t="n"/>
      <c r="M417" s="493">
        <f>HYPERLINK("https://github.com/mostafa-saad/MyCompetitiveProgramming/blob/master/UVA/UVA_881.txt","Sol")</f>
        <v/>
      </c>
      <c r="N417" s="488" t="inlineStr">
        <is>
          <t>geometry, polygon, pip, polygons inside polygons</t>
        </is>
      </c>
      <c r="O417" s="488" t="n">
        <v>49</v>
      </c>
      <c r="P417" s="488" t="n">
        <v>4.5</v>
      </c>
    </row>
    <row r="418" ht="15.75" customHeight="1" s="279">
      <c r="A418" s="420" t="n"/>
      <c r="B418" s="475">
        <f>HYPERLINK("http://codeforces.com/contest/340/problem/B","CF340-D2-B")</f>
        <v/>
      </c>
      <c r="C418" s="418" t="n"/>
      <c r="D418" s="418" t="n"/>
      <c r="E418" s="418" t="n"/>
      <c r="F418" s="418" t="n"/>
      <c r="G418" s="418" t="n"/>
      <c r="H418" s="418" t="n"/>
      <c r="I418" s="404">
        <f>SUM(E418:H418)</f>
        <v/>
      </c>
      <c r="J418" s="404" t="n"/>
      <c r="K418" s="404" t="n"/>
      <c r="L418" s="418" t="n"/>
      <c r="M418" s="420" t="n"/>
      <c r="N418" s="488" t="inlineStr">
        <is>
          <t>geometry, polygon, bf</t>
        </is>
      </c>
      <c r="O418" s="488" t="n">
        <v>49</v>
      </c>
      <c r="P418" s="488" t="n">
        <v>5</v>
      </c>
      <c r="Q418" s="297" t="inlineStr">
        <is>
          <t>p2</t>
        </is>
      </c>
    </row>
    <row r="419" ht="15.75" customHeight="1" s="279">
      <c r="A419" s="420" t="inlineStr">
        <is>
          <t>Volatile Kite</t>
        </is>
      </c>
      <c r="B419" s="475">
        <f>HYPERLINK("http://codeforces.com/contest/801/problem/D","CF801-D2-D")</f>
        <v/>
      </c>
      <c r="C419" s="418" t="n"/>
      <c r="D419" s="418" t="n"/>
      <c r="E419" s="418" t="n"/>
      <c r="F419" s="418" t="n"/>
      <c r="G419" s="418" t="n"/>
      <c r="H419" s="418" t="n"/>
      <c r="I419" s="404">
        <f>SUM(E419:H419)</f>
        <v/>
      </c>
      <c r="J419" s="404" t="n"/>
      <c r="K419" s="404" t="n"/>
      <c r="L419" s="517" t="n"/>
      <c r="M419" s="493">
        <f>HYPERLINK("https://github.com/MeGaCrazy/CompetitiveProgramming/blob/ff934b5231a55818d401805db5e0caa0720a1fa4/Codeforces/CF801-D2-D.cpp","Sol")</f>
        <v/>
      </c>
      <c r="N419" s="488" t="inlineStr">
        <is>
          <t>geometry, polygon, binary search</t>
        </is>
      </c>
      <c r="O419" s="488" t="n">
        <v>49</v>
      </c>
      <c r="P419" s="488" t="n">
        <v>5</v>
      </c>
      <c r="Q419" s="297" t="inlineStr">
        <is>
          <t>p2</t>
        </is>
      </c>
    </row>
    <row r="420" ht="15.75" customHeight="1" s="279">
      <c r="A420" s="420" t="inlineStr">
        <is>
          <t>Polygons</t>
        </is>
      </c>
      <c r="B420" s="475">
        <f>HYPERLINK("https://uva.onlinejudge.org/index.php?option=onlinejudge&amp;page=show_problem&amp;problem=73","UVA 137")</f>
        <v/>
      </c>
      <c r="C420" s="418" t="n"/>
      <c r="D420" s="418" t="n"/>
      <c r="E420" s="418" t="n"/>
      <c r="F420" s="418" t="n"/>
      <c r="G420" s="418" t="n"/>
      <c r="H420" s="418" t="n"/>
      <c r="I420" s="404">
        <f>SUM(E420:H420)</f>
        <v/>
      </c>
      <c r="J420" s="404" t="n"/>
      <c r="K420" s="404" t="n"/>
      <c r="L420" s="512" t="n"/>
      <c r="M420" s="493">
        <f>HYPERLINK("https://github.com/mostafa-saad/MyCompetitiveProgramming/blob/master/UVA/UVA_137.txt","Sol")</f>
        <v/>
      </c>
      <c r="N420" s="488" t="inlineStr">
        <is>
          <t>geometry, polygon, pip, intersections or convex hull or polygon cut</t>
        </is>
      </c>
      <c r="O420" s="488" t="n">
        <v>49</v>
      </c>
      <c r="P420" s="488" t="n">
        <v>5.5</v>
      </c>
      <c r="Q420" s="297" t="inlineStr">
        <is>
          <t>p3</t>
        </is>
      </c>
    </row>
    <row r="421" ht="15.75" customHeight="1" s="279">
      <c r="A421" s="420" t="inlineStr">
        <is>
          <t>Area</t>
        </is>
      </c>
      <c r="B421" s="475">
        <f>HYPERLINK("acm.tju.edu.cn/toj/showp1011.html","TJU 1011")</f>
        <v/>
      </c>
      <c r="C421" s="418" t="n"/>
      <c r="D421" s="418" t="n"/>
      <c r="E421" s="418" t="n"/>
      <c r="F421" s="418" t="n"/>
      <c r="G421" s="418" t="n"/>
      <c r="H421" s="418" t="n"/>
      <c r="I421" s="404">
        <f>SUM(E421:H421)</f>
        <v/>
      </c>
      <c r="J421" s="404" t="n"/>
      <c r="K421" s="404" t="n"/>
      <c r="L421" s="512" t="n"/>
      <c r="M421" s="493">
        <f>HYPERLINK("https://github.com/MedoN11/CompetitiveProgramming/blob/master/TJU/1011.cpp","Sol")</f>
        <v/>
      </c>
      <c r="N421" s="488" t="inlineStr">
        <is>
          <t>geometry, polygon, pick's theorem</t>
        </is>
      </c>
      <c r="O421" s="488" t="n">
        <v>52</v>
      </c>
      <c r="P421" s="488" t="n">
        <v>4.5</v>
      </c>
      <c r="Q421" s="297" t="inlineStr">
        <is>
          <t>p1</t>
        </is>
      </c>
    </row>
    <row r="422" ht="15.75" customHeight="1" s="279">
      <c r="A422" s="420" t="inlineStr">
        <is>
          <t>Trees on My Island</t>
        </is>
      </c>
      <c r="B422" s="475">
        <f>HYPERLINK("https://uva.onlinejudge.org/index.php?option=onlinejudge&amp;page=show_problem&amp;problem=1029","UVA 10088")</f>
        <v/>
      </c>
      <c r="C422" s="418" t="n"/>
      <c r="D422" s="418" t="n"/>
      <c r="E422" s="418" t="n"/>
      <c r="F422" s="418" t="n"/>
      <c r="G422" s="418" t="n"/>
      <c r="H422" s="418" t="n"/>
      <c r="I422" s="404">
        <f>SUM(E422:H422)</f>
        <v/>
      </c>
      <c r="J422" s="404" t="n"/>
      <c r="K422" s="404" t="n"/>
      <c r="L422" s="512" t="n"/>
      <c r="M422" s="420" t="n"/>
      <c r="N422" s="488" t="inlineStr">
        <is>
          <t>geometry, polygon, pick's theorem, gcd</t>
        </is>
      </c>
      <c r="O422" s="488" t="n">
        <v>52</v>
      </c>
      <c r="P422" s="488" t="n">
        <v>5</v>
      </c>
    </row>
    <row r="423" ht="15.75" customHeight="1" s="279">
      <c r="A423" s="420" t="n"/>
      <c r="B423" s="420" t="inlineStr">
        <is>
          <t>LIVEARCHIVE 2831</t>
        </is>
      </c>
      <c r="C423" s="418" t="n"/>
      <c r="D423" s="418" t="n"/>
      <c r="E423" s="418" t="n"/>
      <c r="F423" s="418" t="n"/>
      <c r="G423" s="418" t="n"/>
      <c r="H423" s="418" t="n"/>
      <c r="I423" s="404">
        <f>SUM(E423:H423)</f>
        <v/>
      </c>
      <c r="J423" s="404" t="n"/>
      <c r="K423" s="404" t="n"/>
      <c r="L423" s="512" t="n"/>
      <c r="M423" s="493">
        <f>HYPERLINK("https://github.com/MeGaCrazy/CompetitiveProgramming/blob/c9f4ed6571a135dbc26cfeeb099384a8fec2ff92/LiveArchive/LIVEARCHIVE_2831.cpp","Use polygon cut")</f>
        <v/>
      </c>
      <c r="N423" s="488" t="inlineStr">
        <is>
          <t>geometry, polygon, polygon cut</t>
        </is>
      </c>
      <c r="O423" s="488" t="n">
        <v>53</v>
      </c>
      <c r="P423" s="488" t="n">
        <v>4</v>
      </c>
    </row>
    <row r="424" ht="15.75" customHeight="1" s="279">
      <c r="A424" s="420" t="inlineStr">
        <is>
          <t>Video Surveillance</t>
        </is>
      </c>
      <c r="B424" s="475">
        <f>HYPERLINK("https://uva.onlinejudge.org/index.php?option=com_onlinejudge&amp;Itemid=8&amp;page=show_problem&amp;problem=529","UVA 588")</f>
        <v/>
      </c>
      <c r="C424" s="418" t="n"/>
      <c r="D424" s="418" t="n"/>
      <c r="E424" s="418" t="n"/>
      <c r="F424" s="418" t="n"/>
      <c r="G424" s="418" t="n"/>
      <c r="H424" s="418" t="n"/>
      <c r="I424" s="404">
        <f>SUM(E424:H424)</f>
        <v/>
      </c>
      <c r="J424" s="404" t="n"/>
      <c r="K424" s="404" t="n"/>
      <c r="L424" s="512" t="n"/>
      <c r="M424" s="493">
        <f>HYPERLINK("https://github.com/mostafa-saad/MyCompetitiveProgramming/blob/master/UVA/588.cpp","Use polygon cut")</f>
        <v/>
      </c>
      <c r="N424" s="488" t="inlineStr">
        <is>
          <t>geometry, polygon, polygon cut or adhoc</t>
        </is>
      </c>
      <c r="O424" s="488" t="n">
        <v>53</v>
      </c>
      <c r="P424" s="488" t="n">
        <v>6</v>
      </c>
      <c r="Q424" s="297" t="inlineStr">
        <is>
          <t>p5</t>
        </is>
      </c>
    </row>
    <row r="425" ht="15.75" customHeight="1" s="279">
      <c r="A425" s="420" t="inlineStr">
        <is>
          <t>The Skyline Problem</t>
        </is>
      </c>
      <c r="B425" s="475">
        <f>HYPERLINK("https://uva.onlinejudge.org/index.php?option=com_onlinejudge&amp;Itemid=8&amp;page=show_problem&amp;problem=41","UVA 105")</f>
        <v/>
      </c>
      <c r="C425" s="418" t="n"/>
      <c r="D425" s="418" t="n"/>
      <c r="E425" s="418" t="n"/>
      <c r="F425" s="418" t="n"/>
      <c r="G425" s="418" t="n"/>
      <c r="H425" s="418" t="n"/>
      <c r="I425" s="404">
        <f>SUM(E425:H425)</f>
        <v/>
      </c>
      <c r="J425" s="404" t="n"/>
      <c r="K425" s="404" t="n"/>
      <c r="L425" s="418" t="n"/>
      <c r="M425" s="420" t="n"/>
      <c r="N425" s="488" t="inlineStr">
        <is>
          <t>greedy, geometry</t>
        </is>
      </c>
      <c r="O425" s="488" t="n"/>
      <c r="P425" s="488" t="n">
        <v>3</v>
      </c>
    </row>
    <row r="426" ht="15.75" customHeight="1" s="279">
      <c r="A426" s="420" t="inlineStr">
        <is>
          <t>Marcus</t>
        </is>
      </c>
      <c r="B426" s="475">
        <f>HYPERLINK("https://uva.onlinejudge.org/index.php?option=onlinejudge&amp;page=show_problem&amp;problem=1393","UVA 10452")</f>
        <v/>
      </c>
      <c r="C426" s="418" t="n"/>
      <c r="D426" s="418" t="n"/>
      <c r="E426" s="418" t="n"/>
      <c r="F426" s="418" t="n"/>
      <c r="G426" s="418" t="n"/>
      <c r="H426" s="418" t="n"/>
      <c r="I426" s="404">
        <f>SUM(E426:H426)</f>
        <v/>
      </c>
      <c r="J426" s="418" t="n"/>
      <c r="K426" s="404" t="n"/>
      <c r="L426" s="418" t="n"/>
      <c r="M426" s="421">
        <f>HYPERLINK("https://www.youtube.com/watch?v=HtaczlDLylk","Video Solution - Eng Ayman Salah")</f>
        <v/>
      </c>
      <c r="N426" s="488" t="inlineStr">
        <is>
          <t>graph</t>
        </is>
      </c>
      <c r="O426" s="488" t="n">
        <v>55</v>
      </c>
      <c r="P426" s="488" t="n">
        <v>3</v>
      </c>
    </row>
    <row r="427" ht="15.75" customHeight="1" s="279">
      <c r="A427" s="420" t="inlineStr">
        <is>
          <t>Trees on the level</t>
        </is>
      </c>
      <c r="B427" s="475">
        <f>HYPERLINK("https://uva.onlinejudge.org/index.php?option=com_onlinejudge&amp;Itemid=8&amp;page=show_problem&amp;problem=58","UVA 122")</f>
        <v/>
      </c>
      <c r="C427" s="418" t="n"/>
      <c r="D427" s="418" t="n"/>
      <c r="E427" s="418" t="n"/>
      <c r="F427" s="418" t="n"/>
      <c r="G427" s="418" t="n"/>
      <c r="H427" s="418" t="n"/>
      <c r="I427" s="404">
        <f>SUM(E427:H427)</f>
        <v/>
      </c>
      <c r="J427" s="404" t="n"/>
      <c r="K427" s="404" t="n"/>
      <c r="L427" s="404" t="n"/>
      <c r="M427" s="408">
        <f>HYPERLINK("https://www.youtube.com/watch?v=b6D-7cqN2jM","Video Solution - SolverToBe (Java)")</f>
        <v/>
      </c>
      <c r="N427" s="488" t="inlineStr">
        <is>
          <t>graph, trees</t>
        </is>
      </c>
      <c r="O427" s="488" t="n">
        <v>55</v>
      </c>
      <c r="P427" s="488" t="n">
        <v>3</v>
      </c>
    </row>
    <row r="428" ht="15.75" customHeight="1" s="279">
      <c r="A428" s="420" t="inlineStr">
        <is>
          <t>PT07Z</t>
        </is>
      </c>
      <c r="B428" s="475">
        <f>HYPERLINK("http://www.spoj.com/problems/PT07Z/","SPOJ PT07Z")</f>
        <v/>
      </c>
      <c r="C428" s="418" t="n"/>
      <c r="D428" s="418" t="n"/>
      <c r="E428" s="418" t="n"/>
      <c r="F428" s="418" t="n"/>
      <c r="G428" s="418" t="n"/>
      <c r="H428" s="418" t="n"/>
      <c r="I428" s="404">
        <f>SUM(E428:H428)</f>
        <v/>
      </c>
      <c r="J428" s="404" t="n"/>
      <c r="K428" s="404" t="n"/>
      <c r="L428" s="418" t="n"/>
      <c r="M428" s="493">
        <f>HYPERLINK("https://github.com/abdullaAshraf/Problem-Solving/blob/master/SPOJ/PT07Z.cpp","Sol")</f>
        <v/>
      </c>
      <c r="N428" s="488" t="inlineStr">
        <is>
          <t>graph, tree diameter</t>
        </is>
      </c>
      <c r="O428" s="488" t="n">
        <v>55</v>
      </c>
      <c r="P428" s="488" t="n">
        <v>3</v>
      </c>
    </row>
    <row r="429" ht="15.75" customHeight="1" s="279">
      <c r="A429" s="420" t="inlineStr">
        <is>
          <t>Roads in the North</t>
        </is>
      </c>
      <c r="B429" s="475">
        <f>HYPERLINK("https://uva.onlinejudge.org/index.php?option=com_onlinejudge&amp;Itemid=8&amp;page=show_problem&amp;problem=1249","UVA 10308")</f>
        <v/>
      </c>
      <c r="C429" s="418" t="n"/>
      <c r="D429" s="418" t="n"/>
      <c r="E429" s="418" t="n"/>
      <c r="F429" s="418" t="n"/>
      <c r="G429" s="418" t="n"/>
      <c r="H429" s="418" t="n"/>
      <c r="I429" s="404">
        <f>SUM(E429:H429)</f>
        <v/>
      </c>
      <c r="J429" s="404" t="n"/>
      <c r="K429" s="404" t="n"/>
      <c r="L429" s="418" t="n"/>
      <c r="M429" s="493">
        <f>HYPERLINK("https://github.com/ilyesG/Competitive-Programming/blob/master/UVA/UVA%2010308.cpp","Sol")</f>
        <v/>
      </c>
      <c r="N429" s="488" t="inlineStr">
        <is>
          <t>graph, tree diameter</t>
        </is>
      </c>
      <c r="O429" s="488" t="n">
        <v>55</v>
      </c>
      <c r="P429" s="488" t="n">
        <v>3</v>
      </c>
    </row>
    <row r="430" ht="15.75" customHeight="1" s="279">
      <c r="A430" s="420" t="n"/>
      <c r="B430" s="475">
        <f>HYPERLINK("https://codeforces.com/contest/1068/problem/C","CF1068-D2-C")</f>
        <v/>
      </c>
      <c r="C430" s="418" t="n"/>
      <c r="D430" s="418" t="n"/>
      <c r="E430" s="418" t="n"/>
      <c r="F430" s="418" t="n"/>
      <c r="G430" s="418" t="n"/>
      <c r="H430" s="418" t="n"/>
      <c r="I430" s="404">
        <f>SUM(E430:H430)</f>
        <v/>
      </c>
      <c r="J430" s="404" t="n"/>
      <c r="K430" s="404" t="n"/>
      <c r="L430" s="418" t="n"/>
      <c r="M430" s="420" t="n"/>
      <c r="N430" s="488" t="inlineStr">
        <is>
          <t>graph, adhoc</t>
        </is>
      </c>
      <c r="O430" s="488" t="n">
        <v>55</v>
      </c>
      <c r="P430" s="488" t="n">
        <v>4</v>
      </c>
      <c r="Q430" s="297" t="inlineStr">
        <is>
          <t>p2</t>
        </is>
      </c>
    </row>
    <row r="431" ht="15.75" customHeight="1" s="279">
      <c r="A431" s="420" t="inlineStr">
        <is>
          <t>Eternal Victory</t>
        </is>
      </c>
      <c r="B431" s="475">
        <f>HYPERLINK("http://codeforces.com/contest/61/problem/D","CF61-D2-D")</f>
        <v/>
      </c>
      <c r="C431" s="418" t="n"/>
      <c r="D431" s="418" t="n"/>
      <c r="E431" s="418" t="n"/>
      <c r="F431" s="418" t="n"/>
      <c r="G431" s="418" t="n"/>
      <c r="H431" s="418" t="n"/>
      <c r="I431" s="404">
        <f>SUM(E431:H431)</f>
        <v/>
      </c>
      <c r="J431" s="404" t="n"/>
      <c r="K431" s="404" t="n"/>
      <c r="L431" s="418" t="n"/>
      <c r="M431" s="420" t="n"/>
      <c r="N431" s="488" t="inlineStr">
        <is>
          <t>graph, greedy</t>
        </is>
      </c>
      <c r="O431" s="488" t="n">
        <v>55</v>
      </c>
      <c r="P431" s="488" t="n">
        <v>4</v>
      </c>
      <c r="Q431" s="297" t="inlineStr">
        <is>
          <t>p2</t>
        </is>
      </c>
    </row>
    <row r="432" ht="15.75" customHeight="1" s="279">
      <c r="A432" s="420" t="inlineStr">
        <is>
          <t>Is It A Tree?</t>
        </is>
      </c>
      <c r="B432" s="475">
        <f>HYPERLINK("https://uva.onlinejudge.org/index.php?option=com_onlinejudge&amp;Itemid=8&amp;page=show_problem&amp;problem=556","UVA 615")</f>
        <v/>
      </c>
      <c r="C432" s="418" t="n"/>
      <c r="D432" s="418" t="n"/>
      <c r="E432" s="418" t="n"/>
      <c r="F432" s="418" t="n"/>
      <c r="G432" s="418" t="n"/>
      <c r="H432" s="418" t="n"/>
      <c r="I432" s="404">
        <f>SUM(E432:H432)</f>
        <v/>
      </c>
      <c r="J432" s="418" t="n"/>
      <c r="K432" s="418" t="n"/>
      <c r="L432" s="418" t="n"/>
      <c r="M432" s="488" t="n"/>
      <c r="N432" s="488" t="inlineStr">
        <is>
          <t>graph, trees</t>
        </is>
      </c>
      <c r="O432" s="488" t="n">
        <v>55</v>
      </c>
      <c r="P432" s="488" t="n">
        <v>4</v>
      </c>
      <c r="Q432" s="297" t="inlineStr">
        <is>
          <t>p1</t>
        </is>
      </c>
    </row>
    <row r="433" ht="23.25" customHeight="1" s="279">
      <c r="A433" s="420" t="inlineStr">
        <is>
          <t>Mahmoud and Ehab and the wrong algorithm</t>
        </is>
      </c>
      <c r="B433" s="475">
        <f>HYPERLINK("http://codeforces.com/contest/959/problem/C","CF959-D2-C")</f>
        <v/>
      </c>
      <c r="C433" s="418" t="n"/>
      <c r="D433" s="418" t="n"/>
      <c r="E433" s="418" t="n"/>
      <c r="F433" s="418" t="n"/>
      <c r="G433" s="418" t="n"/>
      <c r="H433" s="418" t="n"/>
      <c r="I433" s="404">
        <f>SUM(E433:H433)</f>
        <v/>
      </c>
      <c r="J433" s="404" t="n"/>
      <c r="K433" s="404" t="n"/>
      <c r="L433" s="418" t="n"/>
      <c r="M433" s="475">
        <f>HYPERLINK("https://www.youtube.com/watch?v=bvDYHy9ESnY&amp;","Video Solution - Eng Mohamed Salah")</f>
        <v/>
      </c>
      <c r="N433" s="488" t="inlineStr">
        <is>
          <t>graph, trees, constructive</t>
        </is>
      </c>
      <c r="O433" s="488" t="n">
        <v>55</v>
      </c>
      <c r="P433" s="488" t="n">
        <v>4</v>
      </c>
    </row>
    <row r="434" ht="15.75" customHeight="1" s="279">
      <c r="A434" s="420" t="inlineStr">
        <is>
          <t>Central Post Office</t>
        </is>
      </c>
      <c r="B434" s="475">
        <f>HYPERLINK("https://uva.onlinejudge.org/index.php?option=onlinejudge&amp;page=show_problem&amp;problem=3801","UVA 12379")</f>
        <v/>
      </c>
      <c r="C434" s="418" t="n"/>
      <c r="D434" s="418" t="n"/>
      <c r="E434" s="418" t="n"/>
      <c r="F434" s="418" t="n"/>
      <c r="G434" s="418" t="n"/>
      <c r="H434" s="418" t="n"/>
      <c r="I434" s="404">
        <f>SUM(E434:H434)</f>
        <v/>
      </c>
      <c r="J434" s="418" t="n"/>
      <c r="K434" s="418" t="n"/>
      <c r="L434" s="418" t="n"/>
      <c r="M434" s="493">
        <f>HYPERLINK("https://github.com/abdullaAshraf/Problem-Solving/blob/master/UVA/12379.cpp","Sol")</f>
        <v/>
      </c>
      <c r="N434" s="488" t="inlineStr">
        <is>
          <t>graph, tree diameter</t>
        </is>
      </c>
      <c r="O434" s="488" t="n">
        <v>55</v>
      </c>
      <c r="P434" s="488" t="n">
        <v>4</v>
      </c>
    </row>
    <row r="435" ht="15.75" customHeight="1" s="279">
      <c r="A435" s="420" t="inlineStr">
        <is>
          <t>The Tree Root</t>
        </is>
      </c>
      <c r="B435" s="475">
        <f>HYPERLINK("https://uva.onlinejudge.org/index.php?option=onlinejudge&amp;page=show_problem&amp;problem=1400","UVA 10459")</f>
        <v/>
      </c>
      <c r="C435" s="418" t="n"/>
      <c r="D435" s="418" t="n"/>
      <c r="E435" s="418" t="n"/>
      <c r="F435" s="418" t="n"/>
      <c r="G435" s="418" t="n"/>
      <c r="H435" s="418" t="n"/>
      <c r="I435" s="404">
        <f>SUM(E435:H435)</f>
        <v/>
      </c>
      <c r="J435" s="404" t="n"/>
      <c r="K435" s="404" t="n"/>
      <c r="L435" s="418" t="n"/>
      <c r="M435" s="493">
        <f>HYPERLINK("https://github.com/VAMPIER000001/CompetitiveProgramming/blob/master/UVA/V-104/UVA%2010459.Cpp","Sol")</f>
        <v/>
      </c>
      <c r="N435" s="488" t="inlineStr">
        <is>
          <t>graph, tree diameter</t>
        </is>
      </c>
      <c r="O435" s="488" t="n">
        <v>55</v>
      </c>
      <c r="P435" s="488" t="n">
        <v>4.5</v>
      </c>
      <c r="Q435" s="297" t="inlineStr">
        <is>
          <t>p3</t>
        </is>
      </c>
    </row>
    <row r="436" ht="15.75" customHeight="1" s="279">
      <c r="A436" s="420" t="inlineStr">
        <is>
          <t>Xor-tree</t>
        </is>
      </c>
      <c r="B436" s="475">
        <f>HYPERLINK("http://codeforces.com/contest/430/problem/C","CF430-D2-C")</f>
        <v/>
      </c>
      <c r="C436" s="418" t="n"/>
      <c r="D436" s="418" t="n"/>
      <c r="E436" s="418" t="n"/>
      <c r="F436" s="418" t="n"/>
      <c r="G436" s="418" t="n"/>
      <c r="H436" s="418" t="n"/>
      <c r="I436" s="404">
        <f>SUM(E436:H436)</f>
        <v/>
      </c>
      <c r="J436" s="404" t="n"/>
      <c r="K436" s="404" t="n"/>
      <c r="L436" s="418" t="n"/>
      <c r="M436" s="420" t="n"/>
      <c r="N436" s="488" t="inlineStr">
        <is>
          <t>graph, bf</t>
        </is>
      </c>
      <c r="O436" s="488" t="n">
        <v>55</v>
      </c>
      <c r="P436" s="488" t="n">
        <v>5</v>
      </c>
    </row>
    <row r="437" ht="15.75" customHeight="1" s="279">
      <c r="A437" s="420" t="inlineStr">
        <is>
          <t>Renting Bikes</t>
        </is>
      </c>
      <c r="B437" s="475">
        <f>HYPERLINK("http://codeforces.com/contest/363/problem/D","CF363-D2-D")</f>
        <v/>
      </c>
      <c r="C437" s="418" t="n"/>
      <c r="D437" s="418" t="n"/>
      <c r="E437" s="418" t="n"/>
      <c r="F437" s="418" t="n"/>
      <c r="G437" s="418" t="n"/>
      <c r="H437" s="418" t="n"/>
      <c r="I437" s="404">
        <f>SUM(E437:H437)</f>
        <v/>
      </c>
      <c r="J437" s="404" t="n"/>
      <c r="K437" s="404" t="n"/>
      <c r="L437" s="512" t="n"/>
      <c r="M437" s="420" t="n"/>
      <c r="N437" s="488" t="inlineStr">
        <is>
          <t>graph, cycle, greedy</t>
        </is>
      </c>
      <c r="O437" s="488" t="n">
        <v>55</v>
      </c>
      <c r="P437" s="488" t="n">
        <v>5</v>
      </c>
    </row>
    <row r="438" ht="15.75" customHeight="1" s="279">
      <c r="A438" s="420" t="inlineStr">
        <is>
          <t>Regular Bridge</t>
        </is>
      </c>
      <c r="B438" s="475">
        <f>HYPERLINK("http://codeforces.com/contest/550/problem/D","CF550-D2-D")</f>
        <v/>
      </c>
      <c r="C438" s="418" t="n"/>
      <c r="D438" s="418" t="n"/>
      <c r="E438" s="418" t="n"/>
      <c r="F438" s="418" t="n"/>
      <c r="G438" s="418" t="n"/>
      <c r="H438" s="418" t="n"/>
      <c r="I438" s="404">
        <f>SUM(E438:H438)</f>
        <v/>
      </c>
      <c r="J438" s="418" t="n"/>
      <c r="K438" s="418" t="n"/>
      <c r="L438" s="512" t="n"/>
      <c r="M438" s="420" t="n"/>
      <c r="N438" s="488" t="inlineStr">
        <is>
          <t>graph, prove using e.g. scc</t>
        </is>
      </c>
      <c r="O438" s="488" t="n">
        <v>55</v>
      </c>
      <c r="P438" s="488" t="n">
        <v>5</v>
      </c>
    </row>
    <row r="439" ht="15.75" customHeight="1" s="279">
      <c r="A439" s="420" t="n"/>
      <c r="B439" s="475">
        <f>HYPERLINK("http://codeforces.com/contest/486/problem/D","CF486-D2-D")</f>
        <v/>
      </c>
      <c r="C439" s="418" t="n"/>
      <c r="D439" s="418" t="n"/>
      <c r="E439" s="418" t="n"/>
      <c r="F439" s="418" t="n"/>
      <c r="G439" s="418" t="n"/>
      <c r="H439" s="418" t="n"/>
      <c r="I439" s="404">
        <f>SUM(E439:H439)</f>
        <v/>
      </c>
      <c r="J439" s="418" t="n"/>
      <c r="K439" s="418" t="n"/>
      <c r="L439" s="418" t="n"/>
      <c r="M439" s="421" t="n"/>
      <c r="N439" s="488" t="inlineStr">
        <is>
          <t>graph, trees, dfs, prefix sum or dp_trees</t>
        </is>
      </c>
      <c r="O439" s="488" t="n">
        <v>55</v>
      </c>
      <c r="P439" s="488" t="n">
        <v>5.5</v>
      </c>
      <c r="Q439" s="297" t="inlineStr">
        <is>
          <t>p5</t>
        </is>
      </c>
    </row>
    <row r="440" ht="15.75" customHeight="1" s="279">
      <c r="A440" s="420" t="inlineStr">
        <is>
          <t>Cycles</t>
        </is>
      </c>
      <c r="B440" s="475">
        <f>HYPERLINK("http://codeforces.com/contest/233/problem/C","CF233-D2-C")</f>
        <v/>
      </c>
      <c r="C440" s="418" t="n"/>
      <c r="D440" s="418" t="n"/>
      <c r="E440" s="418" t="n"/>
      <c r="F440" s="418" t="n"/>
      <c r="G440" s="418" t="n"/>
      <c r="H440" s="418" t="n"/>
      <c r="I440" s="404">
        <f>SUM(E440:H440)</f>
        <v/>
      </c>
      <c r="J440" s="418" t="n"/>
      <c r="K440" s="418" t="n"/>
      <c r="L440" s="418" t="n"/>
      <c r="M440" s="420" t="n"/>
      <c r="N440" s="488" t="inlineStr">
        <is>
          <t>graph, cycle</t>
        </is>
      </c>
      <c r="O440" s="488" t="n">
        <v>55</v>
      </c>
      <c r="P440" s="488" t="n">
        <v>5.5</v>
      </c>
      <c r="Q440" s="297" t="inlineStr">
        <is>
          <t>p3</t>
        </is>
      </c>
    </row>
    <row r="441" ht="15.75" customHeight="1" s="279">
      <c r="A441" s="420" t="n"/>
      <c r="B441" s="475">
        <f>HYPERLINK("http://codeforces.com/contest/459/problem/E","CF459-D2-E")</f>
        <v/>
      </c>
      <c r="C441" s="418" t="n"/>
      <c r="D441" s="418" t="n"/>
      <c r="E441" s="418" t="n"/>
      <c r="F441" s="418" t="n"/>
      <c r="G441" s="418" t="n"/>
      <c r="H441" s="418" t="n"/>
      <c r="I441" s="404">
        <f>SUM(E441:H441)</f>
        <v/>
      </c>
      <c r="J441" s="404" t="n"/>
      <c r="K441" s="404" t="n"/>
      <c r="L441" s="418" t="n"/>
      <c r="M441" s="488" t="n"/>
      <c r="N441" s="488" t="inlineStr">
        <is>
          <t>graph, dp, sortings</t>
        </is>
      </c>
      <c r="O441" s="488" t="n">
        <v>55</v>
      </c>
      <c r="P441" s="488" t="n">
        <v>5.5</v>
      </c>
      <c r="Q441" s="297" t="inlineStr">
        <is>
          <t>p3</t>
        </is>
      </c>
    </row>
    <row r="442" ht="15.75" customHeight="1" s="279">
      <c r="A442" s="420" t="n"/>
      <c r="B442" s="475">
        <f>HYPERLINK("https://codeforces.com/contest/1060/problem/D","CF1060-D12-D")</f>
        <v/>
      </c>
      <c r="C442" s="418" t="n"/>
      <c r="D442" s="418" t="n"/>
      <c r="E442" s="418" t="n"/>
      <c r="F442" s="418" t="n"/>
      <c r="G442" s="418" t="n"/>
      <c r="H442" s="418" t="n"/>
      <c r="I442" s="404">
        <f>SUM(E442:H442)</f>
        <v/>
      </c>
      <c r="J442" s="418" t="n"/>
      <c r="K442" s="418" t="n"/>
      <c r="L442" s="512" t="n"/>
      <c r="M442" s="488" t="n"/>
      <c r="N442" s="488" t="inlineStr">
        <is>
          <t>graph, greedy</t>
        </is>
      </c>
      <c r="O442" s="488" t="n">
        <v>55</v>
      </c>
      <c r="P442" s="488" t="n">
        <v>5.5</v>
      </c>
      <c r="Q442" s="297" t="inlineStr">
        <is>
          <t>p3</t>
        </is>
      </c>
    </row>
    <row r="443" ht="15.75" customHeight="1" s="279">
      <c r="A443" s="420" t="n"/>
      <c r="B443" s="420" t="inlineStr">
        <is>
          <t>UVA 10982</t>
        </is>
      </c>
      <c r="C443" s="418" t="n"/>
      <c r="D443" s="418" t="n"/>
      <c r="E443" s="418" t="n"/>
      <c r="F443" s="418" t="n"/>
      <c r="G443" s="418" t="n"/>
      <c r="H443" s="418" t="n"/>
      <c r="I443" s="404">
        <f>SUM(E443:H443)</f>
        <v/>
      </c>
      <c r="J443" s="418" t="n"/>
      <c r="K443" s="418" t="n"/>
      <c r="L443" s="512" t="n"/>
      <c r="M443" s="493">
        <f>HYPERLINK("https://github.com/jebouin/CompetitiveProgramming/blob/master/UVA/UVA%2010982.cpp","Sol")</f>
        <v/>
      </c>
      <c r="N443" s="488" t="inlineStr">
        <is>
          <t>graph, greedy, [close to max cut]</t>
        </is>
      </c>
      <c r="O443" s="488" t="n">
        <v>55</v>
      </c>
      <c r="P443" s="488" t="n">
        <v>5.5</v>
      </c>
      <c r="Q443" s="297" t="inlineStr">
        <is>
          <t>p3</t>
        </is>
      </c>
    </row>
    <row r="444" ht="15.75" customHeight="1" s="279">
      <c r="A444" s="420" t="n"/>
      <c r="B444" s="475">
        <f>HYPERLINK("http://codeforces.com/contest/592/problem/D","CF592-D2-D")</f>
        <v/>
      </c>
      <c r="C444" s="418" t="n"/>
      <c r="D444" s="418" t="n"/>
      <c r="E444" s="418" t="n"/>
      <c r="F444" s="418" t="n"/>
      <c r="G444" s="418" t="n"/>
      <c r="H444" s="418" t="n"/>
      <c r="I444" s="404">
        <f>SUM(E444:H444)</f>
        <v/>
      </c>
      <c r="J444" s="418" t="n"/>
      <c r="K444" s="418" t="n"/>
      <c r="L444" s="418" t="n"/>
      <c r="M444" s="488" t="n"/>
      <c r="N444" s="488" t="inlineStr">
        <is>
          <t>graph, tree diameter</t>
        </is>
      </c>
      <c r="O444" s="488" t="n">
        <v>55</v>
      </c>
      <c r="P444" s="488" t="n">
        <v>5.5</v>
      </c>
      <c r="Q444" s="297" t="inlineStr">
        <is>
          <t>p3</t>
        </is>
      </c>
    </row>
    <row r="445" ht="15.75" customHeight="1" s="279">
      <c r="A445" s="420" t="inlineStr">
        <is>
          <t>BITMAP - Bitmap</t>
        </is>
      </c>
      <c r="B445" s="475">
        <f>HYPERLINK("http://www.spoj.com/problems/BITMAP/","SPOJ BITMAP")</f>
        <v/>
      </c>
      <c r="C445" s="418" t="n"/>
      <c r="D445" s="418" t="n"/>
      <c r="E445" s="418" t="n"/>
      <c r="F445" s="418" t="n"/>
      <c r="G445" s="418" t="n"/>
      <c r="H445" s="418" t="n"/>
      <c r="I445" s="404">
        <f>SUM(E445:H445)</f>
        <v/>
      </c>
      <c r="J445" s="418" t="n"/>
      <c r="K445" s="418" t="n"/>
      <c r="L445" s="418" t="n"/>
      <c r="M445" s="474">
        <f>HYPERLINK("https://github.com/omarkhair/Problems-Editorial/blob/master/SPOJ/Bitmap/Editorial.md","Editorial")</f>
        <v/>
      </c>
      <c r="N445" s="488" t="inlineStr">
        <is>
          <t>graph, bfs, multisrc, multidest</t>
        </is>
      </c>
      <c r="O445" s="488" t="n">
        <v>57</v>
      </c>
      <c r="P445" s="488" t="n">
        <v>3</v>
      </c>
      <c r="Q445" s="297" t="inlineStr">
        <is>
          <t>p3</t>
        </is>
      </c>
    </row>
    <row r="446" ht="15.75" customHeight="1" s="279">
      <c r="A446" s="420" t="inlineStr">
        <is>
          <t>Pouring water</t>
        </is>
      </c>
      <c r="B446" s="475">
        <f>HYPERLINK("http://www.spoj.com/problems/POUR1/","SPOJ POUR1")</f>
        <v/>
      </c>
      <c r="C446" s="418" t="n"/>
      <c r="D446" s="418" t="n"/>
      <c r="E446" s="418" t="n"/>
      <c r="F446" s="418" t="n"/>
      <c r="G446" s="418" t="n"/>
      <c r="H446" s="418" t="n"/>
      <c r="I446" s="404">
        <f>SUM(E446:H446)</f>
        <v/>
      </c>
      <c r="J446" s="418" t="n"/>
      <c r="K446" s="418" t="n"/>
      <c r="L446" s="418" t="n"/>
      <c r="M446" s="421">
        <f>HYPERLINK("https://www.youtube.com/watch?v=dMacXPeTyak&amp;feature=youtu.be","Video Solution - Eng Moaz Rashad")</f>
        <v/>
      </c>
      <c r="N446" s="488" t="inlineStr">
        <is>
          <t>graph, bfs</t>
        </is>
      </c>
      <c r="O446" s="488" t="n">
        <v>57</v>
      </c>
      <c r="P446" s="488" t="n">
        <v>3</v>
      </c>
    </row>
    <row r="447" ht="15.75" customHeight="1" s="279">
      <c r="A447" s="420" t="inlineStr">
        <is>
          <t>Jugs</t>
        </is>
      </c>
      <c r="B447" s="475">
        <f>HYPERLINK("https://uva.onlinejudge.org/index.php?option=com_onlinejudge&amp;Itemid=8&amp;page=show_problem&amp;problem=512","UVA 571")</f>
        <v/>
      </c>
      <c r="C447" s="418" t="n"/>
      <c r="D447" s="418" t="n"/>
      <c r="E447" s="418" t="n"/>
      <c r="F447" s="418" t="n"/>
      <c r="G447" s="418" t="n"/>
      <c r="H447" s="418" t="n"/>
      <c r="I447" s="404">
        <f>SUM(E447:H447)</f>
        <v/>
      </c>
      <c r="J447" s="404" t="n"/>
      <c r="K447" s="404" t="n"/>
      <c r="L447" s="418" t="n"/>
      <c r="M447" s="421">
        <f>HYPERLINK("https://www.youtube.com/watch?v=y0J3Jznp3kE","Video Solution - Dr Mostafa Saad")</f>
        <v/>
      </c>
      <c r="N447" s="488" t="inlineStr">
        <is>
          <t>graph, bfs</t>
        </is>
      </c>
      <c r="O447" s="488" t="n">
        <v>57</v>
      </c>
      <c r="P447" s="488" t="n">
        <v>4</v>
      </c>
      <c r="Q447" s="297" t="inlineStr">
        <is>
          <t>p1</t>
        </is>
      </c>
    </row>
    <row r="448" ht="15.75" customHeight="1" s="279">
      <c r="A448" s="420" t="inlineStr">
        <is>
          <t>Tic-Tac-Toe ( I )</t>
        </is>
      </c>
      <c r="B448" s="475">
        <f>HYPERLINK("http://www.spoj.com/problems/TOE1/","SPOJ TOE1")</f>
        <v/>
      </c>
      <c r="C448" s="418" t="n"/>
      <c r="D448" s="418" t="n"/>
      <c r="E448" s="418" t="n"/>
      <c r="F448" s="418" t="n"/>
      <c r="G448" s="418" t="n"/>
      <c r="H448" s="418" t="n"/>
      <c r="I448" s="404">
        <f>SUM(E448:H448)</f>
        <v/>
      </c>
      <c r="J448" s="404" t="n"/>
      <c r="K448" s="404" t="n"/>
      <c r="L448" s="418" t="n"/>
      <c r="M448" s="475">
        <f>HYPERLINK("https://www.youtube.com/watch?v=VM2c3csK3Ps","Video Solution - Eng Ayman Salah")</f>
        <v/>
      </c>
      <c r="N448" s="488" t="inlineStr">
        <is>
          <t>graph, bfs</t>
        </is>
      </c>
      <c r="O448" s="488" t="n">
        <v>57</v>
      </c>
      <c r="P448" s="488" t="n">
        <v>4</v>
      </c>
    </row>
    <row r="449" ht="15.75" customHeight="1" s="279">
      <c r="A449" s="420" t="inlineStr">
        <is>
          <t>Tic-Tac-Toe ( II )</t>
        </is>
      </c>
      <c r="B449" s="475">
        <f>HYPERLINK("http://www.spoj.com/problems/TOE2/","SPOJ TOE2")</f>
        <v/>
      </c>
      <c r="C449" s="418" t="n"/>
      <c r="D449" s="418" t="n"/>
      <c r="E449" s="418" t="n"/>
      <c r="F449" s="418" t="n"/>
      <c r="G449" s="418" t="n"/>
      <c r="H449" s="418" t="n"/>
      <c r="I449" s="404">
        <f>SUM(E449:H449)</f>
        <v/>
      </c>
      <c r="J449" s="404" t="n"/>
      <c r="K449" s="404" t="n"/>
      <c r="L449" s="418" t="n"/>
      <c r="M449" s="475">
        <f>HYPERLINK("https://www.youtube.com/watch?v=LleR_xaCfMY&amp;feature=youtu.be","Video Solution - Eng Essam AlNaggar")</f>
        <v/>
      </c>
      <c r="N449" s="488" t="inlineStr">
        <is>
          <t>graph, bfs</t>
        </is>
      </c>
      <c r="O449" s="488" t="n">
        <v>57</v>
      </c>
      <c r="P449" s="488" t="n">
        <v>4</v>
      </c>
    </row>
    <row r="450" ht="15.75" customHeight="1" s="279">
      <c r="A450" s="420" t="inlineStr">
        <is>
          <t>Knight Moves</t>
        </is>
      </c>
      <c r="B450" s="475">
        <f>HYPERLINK("https://uva.onlinejudge.org/index.php?option=com_onlinejudge&amp;Itemid=8&amp;page=show_problem&amp;problem=380","UVA 439")</f>
        <v/>
      </c>
      <c r="C450" s="418" t="n"/>
      <c r="D450" s="418" t="n"/>
      <c r="E450" s="418" t="n"/>
      <c r="F450" s="418" t="n"/>
      <c r="G450" s="418" t="n"/>
      <c r="H450" s="418" t="n"/>
      <c r="I450" s="404">
        <f>SUM(E450:H450)</f>
        <v/>
      </c>
      <c r="J450" s="404" t="n"/>
      <c r="K450" s="404" t="n"/>
      <c r="L450" s="418" t="n"/>
      <c r="M450" s="475">
        <f>HYPERLINK("https://www.youtube.com/watch?v=_S7BCbISrdo&amp;feature=youtu.be","Video Solution - Eng Magdy Hasan")</f>
        <v/>
      </c>
      <c r="N450" s="488" t="inlineStr">
        <is>
          <t>graph, bfs, chess or dfs</t>
        </is>
      </c>
      <c r="O450" s="488" t="n">
        <v>57</v>
      </c>
      <c r="P450" s="488" t="n">
        <v>4</v>
      </c>
    </row>
    <row r="451" ht="15.75" customHeight="1" s="279">
      <c r="A451" s="420" t="inlineStr">
        <is>
          <t>King's Path</t>
        </is>
      </c>
      <c r="B451" s="475">
        <f>HYPERLINK("http://codeforces.com/contest/242/problem/C","CF242-D2-C")</f>
        <v/>
      </c>
      <c r="C451" s="418" t="n"/>
      <c r="D451" s="418" t="n"/>
      <c r="E451" s="418" t="n"/>
      <c r="F451" s="418" t="n"/>
      <c r="G451" s="418" t="n"/>
      <c r="H451" s="418" t="n"/>
      <c r="I451" s="404">
        <f>SUM(E451:H451)</f>
        <v/>
      </c>
      <c r="J451" s="404" t="n"/>
      <c r="K451" s="404" t="n"/>
      <c r="L451" s="418" t="n"/>
      <c r="M451" s="475">
        <f>HYPERLINK("https://www.youtube.com/watch?v=KmxeOFQ_4Rw","Video Solution - Dr Mostafa Saad")</f>
        <v/>
      </c>
      <c r="N451" s="488" t="inlineStr">
        <is>
          <t>graph, bfs</t>
        </is>
      </c>
      <c r="O451" s="488" t="n">
        <v>57</v>
      </c>
      <c r="P451" s="488" t="n">
        <v>4.5</v>
      </c>
      <c r="Q451" s="304" t="n"/>
    </row>
    <row r="452" ht="15.75" customHeight="1" s="279">
      <c r="A452" s="420" t="inlineStr">
        <is>
          <t>Theseus and labyrinth</t>
        </is>
      </c>
      <c r="B452" s="475">
        <f>HYPERLINK("http://codeforces.com/contest/676/problem/D","CF676-D2-D")</f>
        <v/>
      </c>
      <c r="C452" s="418" t="n"/>
      <c r="D452" s="418" t="n"/>
      <c r="E452" s="418" t="n"/>
      <c r="F452" s="418" t="n"/>
      <c r="G452" s="418" t="n"/>
      <c r="H452" s="418" t="n"/>
      <c r="I452" s="404">
        <f>SUM(E452:H452)</f>
        <v/>
      </c>
      <c r="J452" s="418" t="n"/>
      <c r="K452" s="418" t="n"/>
      <c r="L452" s="418" t="n"/>
      <c r="M452" s="488" t="n"/>
      <c r="N452" s="488" t="inlineStr">
        <is>
          <t>graph, bfs, impl</t>
        </is>
      </c>
      <c r="O452" s="488" t="n">
        <v>57</v>
      </c>
      <c r="P452" s="488" t="n">
        <v>4.5</v>
      </c>
      <c r="Q452" s="297" t="inlineStr">
        <is>
          <t>p2</t>
        </is>
      </c>
    </row>
    <row r="453" ht="15.75" customHeight="1" s="279">
      <c r="A453" s="420" t="inlineStr">
        <is>
          <t>Wandering Queen</t>
        </is>
      </c>
      <c r="B453" s="475">
        <f>HYPERLINK("http://www.spoj.com/problems/QUEEN/","SPOJ QUEEN")</f>
        <v/>
      </c>
      <c r="C453" s="418" t="n"/>
      <c r="D453" s="418" t="n"/>
      <c r="E453" s="418" t="n"/>
      <c r="F453" s="418" t="n"/>
      <c r="G453" s="418" t="n"/>
      <c r="H453" s="418" t="n"/>
      <c r="I453" s="404">
        <f>SUM(E453:H453)</f>
        <v/>
      </c>
      <c r="J453" s="418" t="n"/>
      <c r="K453" s="418" t="n"/>
      <c r="L453" s="418" t="n"/>
      <c r="M453" s="475">
        <f>HYPERLINK("https://github.com/magdy-hasan/competitive-programming/blob/master/SPOJ/SPOJ%20QUEEN%20-%20Wandering%20Queen.cpp","Sol to read")</f>
        <v/>
      </c>
      <c r="N453" s="488" t="inlineStr">
        <is>
          <t>graph, bfs</t>
        </is>
      </c>
      <c r="O453" s="488" t="n">
        <v>57</v>
      </c>
      <c r="P453" s="488" t="n">
        <v>4.5</v>
      </c>
      <c r="Q453" s="297" t="inlineStr">
        <is>
          <t>p1</t>
        </is>
      </c>
    </row>
    <row r="454" ht="15.75" customHeight="1" s="279">
      <c r="A454" s="420" t="inlineStr">
        <is>
          <t>Restore Graph</t>
        </is>
      </c>
      <c r="B454" s="475">
        <f>HYPERLINK("http://codeforces.com/contest/404/problem/C","CF404-D2-C")</f>
        <v/>
      </c>
      <c r="C454" s="418" t="n"/>
      <c r="D454" s="418" t="n"/>
      <c r="E454" s="418" t="n"/>
      <c r="F454" s="418" t="n"/>
      <c r="G454" s="418" t="n"/>
      <c r="H454" s="418" t="n"/>
      <c r="I454" s="404">
        <f>SUM(E454:H454)</f>
        <v/>
      </c>
      <c r="J454" s="418" t="n"/>
      <c r="K454" s="418" t="n"/>
      <c r="L454" s="418" t="n"/>
      <c r="M454" s="420" t="n"/>
      <c r="N454" s="488" t="inlineStr">
        <is>
          <t>graph, bfs</t>
        </is>
      </c>
      <c r="O454" s="488" t="n">
        <v>57</v>
      </c>
      <c r="P454" s="488" t="n">
        <v>4.5</v>
      </c>
    </row>
    <row r="455" ht="15.75" customHeight="1" s="279">
      <c r="A455" s="420" t="inlineStr">
        <is>
          <t>Key Task</t>
        </is>
      </c>
      <c r="B455" s="475">
        <f>HYPERLINK("http://www.spoj.com/problems/CERC07K/","SPOJ CERC07K")</f>
        <v/>
      </c>
      <c r="C455" s="418" t="n"/>
      <c r="D455" s="418" t="n"/>
      <c r="E455" s="418" t="n"/>
      <c r="F455" s="418" t="n"/>
      <c r="G455" s="418" t="n"/>
      <c r="H455" s="418" t="n"/>
      <c r="I455" s="404">
        <f>SUM(E455:H455)</f>
        <v/>
      </c>
      <c r="J455" s="418" t="n"/>
      <c r="K455" s="418" t="n"/>
      <c r="L455" s="418" t="n"/>
      <c r="M455" s="488" t="n"/>
      <c r="N455" s="488" t="inlineStr">
        <is>
          <t>graph, bfs, bitmask</t>
        </is>
      </c>
      <c r="O455" s="488" t="n">
        <v>57</v>
      </c>
      <c r="P455" s="488" t="n">
        <v>4.5</v>
      </c>
    </row>
    <row r="456" ht="15.75" customHeight="1" s="279">
      <c r="A456" s="420" t="inlineStr">
        <is>
          <t>Cleaning Robot</t>
        </is>
      </c>
      <c r="B456" s="475">
        <f>HYPERLINK("http://www.spoj.com/problems/CLEANRBT/","SPOJ CLEANRBT")</f>
        <v/>
      </c>
      <c r="C456" s="418" t="n"/>
      <c r="D456" s="418" t="n"/>
      <c r="E456" s="418" t="n"/>
      <c r="F456" s="418" t="n"/>
      <c r="G456" s="418" t="n"/>
      <c r="H456" s="418" t="n"/>
      <c r="I456" s="404">
        <f>SUM(E456:H456)</f>
        <v/>
      </c>
      <c r="J456" s="418" t="n"/>
      <c r="K456" s="418" t="n"/>
      <c r="L456" s="418" t="n"/>
      <c r="M456" s="420" t="n"/>
      <c r="N456" s="488" t="inlineStr">
        <is>
          <t>graph, bfs, bitmask or bfs preprocess then dp</t>
        </is>
      </c>
      <c r="O456" s="488" t="n">
        <v>57</v>
      </c>
      <c r="P456" s="488" t="n">
        <v>4.5</v>
      </c>
    </row>
    <row r="457" ht="15.75" customHeight="1" s="279">
      <c r="A457" s="420" t="n"/>
      <c r="B457" s="420" t="inlineStr">
        <is>
          <t>UVA 10888</t>
        </is>
      </c>
      <c r="C457" s="418" t="n"/>
      <c r="D457" s="418" t="n"/>
      <c r="E457" s="418" t="n"/>
      <c r="F457" s="418" t="n"/>
      <c r="G457" s="418" t="n"/>
      <c r="H457" s="418" t="n"/>
      <c r="I457" s="404">
        <f>SUM(E457:H457)</f>
        <v/>
      </c>
      <c r="J457" s="404" t="n"/>
      <c r="K457" s="404" t="n"/>
      <c r="L457" s="418" t="n"/>
      <c r="M457" s="488" t="n"/>
      <c r="N457" s="488" t="inlineStr">
        <is>
          <t>graph, bfs, dp or weighted matching</t>
        </is>
      </c>
      <c r="O457" s="488" t="n">
        <v>57</v>
      </c>
      <c r="P457" s="488" t="n">
        <v>5</v>
      </c>
      <c r="Q457" s="297" t="inlineStr">
        <is>
          <t>p3</t>
        </is>
      </c>
    </row>
    <row r="458" ht="15.75" customHeight="1" s="279">
      <c r="A458" s="420" t="inlineStr">
        <is>
          <t>Text Editor</t>
        </is>
      </c>
      <c r="B458" s="475">
        <f>HYPERLINK("http://codeforces.com/contest/253/problem/C","CF253-D2-C")</f>
        <v/>
      </c>
      <c r="C458" s="418" t="n"/>
      <c r="D458" s="418" t="n"/>
      <c r="E458" s="418" t="n"/>
      <c r="F458" s="418" t="n"/>
      <c r="G458" s="418" t="n"/>
      <c r="H458" s="418" t="n"/>
      <c r="I458" s="404">
        <f>SUM(E458:H458)</f>
        <v/>
      </c>
      <c r="J458" s="404" t="n"/>
      <c r="K458" s="404" t="n"/>
      <c r="L458" s="418" t="n"/>
      <c r="M458" s="420" t="n"/>
      <c r="N458" s="488" t="inlineStr">
        <is>
          <t>graph, bfs or greedy, [search in 2d grid]</t>
        </is>
      </c>
      <c r="O458" s="488" t="n">
        <v>57</v>
      </c>
      <c r="P458" s="488" t="n">
        <v>5</v>
      </c>
      <c r="Q458" s="297" t="inlineStr">
        <is>
          <t>p2</t>
        </is>
      </c>
    </row>
    <row r="459" ht="15.75" customHeight="1" s="279">
      <c r="A459" s="420" t="inlineStr">
        <is>
          <t>Tobo or not Tobo</t>
        </is>
      </c>
      <c r="B459" s="475">
        <f>HYPERLINK("http://www.spoj.com/problems/ANARC08A/","SPOJ ANARC08A")</f>
        <v/>
      </c>
      <c r="C459" s="418" t="n"/>
      <c r="D459" s="418" t="n"/>
      <c r="E459" s="418" t="n"/>
      <c r="F459" s="418" t="n"/>
      <c r="G459" s="418" t="n"/>
      <c r="H459" s="418" t="n"/>
      <c r="I459" s="404">
        <f>SUM(E459:H459)</f>
        <v/>
      </c>
      <c r="J459" s="418" t="n"/>
      <c r="K459" s="418" t="n"/>
      <c r="L459" s="512" t="n"/>
      <c r="M459" s="493">
        <f>HYPERLINK("https://github.com/mostafa-saad/MyCompetitiveProgramming/blob/master/SPOJ/SPOJ_ANARC08A.txt","Sol")</f>
        <v/>
      </c>
      <c r="N459" s="488" t="inlineStr">
        <is>
          <t>graph, bfs, trie, hashing or meet in middle</t>
        </is>
      </c>
      <c r="O459" s="488" t="n">
        <v>57</v>
      </c>
      <c r="P459" s="488" t="n">
        <v>5</v>
      </c>
    </row>
    <row r="460" ht="15.75" customHeight="1" s="279">
      <c r="A460" s="420" t="n"/>
      <c r="B460" s="475">
        <f>HYPERLINK("http://codeforces.com/contest/1005/problem/F","CF1005-D3-F")</f>
        <v/>
      </c>
      <c r="C460" s="418" t="n"/>
      <c r="D460" s="418" t="n"/>
      <c r="E460" s="418" t="n"/>
      <c r="F460" s="418" t="n"/>
      <c r="G460" s="418" t="n"/>
      <c r="H460" s="418" t="n"/>
      <c r="I460" s="404">
        <f>SUM(E460:H460)</f>
        <v/>
      </c>
      <c r="J460" s="418" t="n"/>
      <c r="K460" s="418" t="n"/>
      <c r="L460" s="418" t="n"/>
      <c r="M460" s="420" t="n"/>
      <c r="N460" s="488" t="inlineStr">
        <is>
          <t>graph, bfs</t>
        </is>
      </c>
      <c r="O460" s="488" t="n">
        <v>57</v>
      </c>
      <c r="P460" s="488" t="n">
        <v>5.25</v>
      </c>
      <c r="Q460" s="297" t="inlineStr">
        <is>
          <t>p2</t>
        </is>
      </c>
    </row>
    <row r="461" ht="15.75" customHeight="1" s="279">
      <c r="A461" s="420" t="n"/>
      <c r="B461" s="420" t="inlineStr">
        <is>
          <t>TIMUS 1498</t>
        </is>
      </c>
      <c r="C461" s="418" t="n"/>
      <c r="D461" s="418" t="n"/>
      <c r="E461" s="418" t="n"/>
      <c r="F461" s="418" t="n"/>
      <c r="G461" s="418" t="n"/>
      <c r="H461" s="418" t="n"/>
      <c r="I461" s="404">
        <f>SUM(E461:H461)</f>
        <v/>
      </c>
      <c r="J461" s="404" t="n"/>
      <c r="K461" s="404" t="n"/>
      <c r="L461" s="418" t="n"/>
      <c r="M461" s="488" t="n"/>
      <c r="N461" s="488" t="inlineStr">
        <is>
          <t>graph, bfs, [chess, tricky cases]</t>
        </is>
      </c>
      <c r="O461" s="488" t="n">
        <v>57</v>
      </c>
      <c r="P461" s="488" t="n">
        <v>5.5</v>
      </c>
      <c r="Q461" s="297" t="inlineStr">
        <is>
          <t>p2</t>
        </is>
      </c>
    </row>
    <row r="462" ht="15.75" customHeight="1" s="279">
      <c r="A462" s="420" t="n"/>
      <c r="B462" s="420" t="inlineStr">
        <is>
          <t>UVA 11573</t>
        </is>
      </c>
      <c r="C462" s="418" t="n"/>
      <c r="D462" s="418" t="n"/>
      <c r="E462" s="418" t="n"/>
      <c r="F462" s="418" t="n"/>
      <c r="G462" s="418" t="n"/>
      <c r="H462" s="418" t="n"/>
      <c r="I462" s="404">
        <f>SUM(E462:H462)</f>
        <v/>
      </c>
      <c r="J462" s="404" t="n"/>
      <c r="K462" s="404" t="n"/>
      <c r="L462" s="418" t="n"/>
      <c r="M462" s="518">
        <f>HYPERLINK("https://www.geeksforgeeks.org/0-1-bfs-shortest-path-binary-graph/","Learn 0/1 BFS")</f>
        <v/>
      </c>
      <c r="N462" s="488" t="inlineStr">
        <is>
          <t>graph, bfs, 0/1 bfs, [~spoj kaththi]</t>
        </is>
      </c>
      <c r="O462" s="488" t="n">
        <v>57</v>
      </c>
      <c r="P462" s="488" t="n">
        <v>5.5</v>
      </c>
      <c r="Q462" s="297" t="inlineStr">
        <is>
          <t>p2</t>
        </is>
      </c>
    </row>
    <row r="463" ht="15.75" customHeight="1" s="279">
      <c r="A463" s="420" t="n"/>
      <c r="B463" s="475">
        <f>HYPERLINK("http://codeforces.com/contest/787/problem/C","CF787-D2-C")</f>
        <v/>
      </c>
      <c r="C463" s="418" t="n"/>
      <c r="D463" s="418" t="n"/>
      <c r="E463" s="418" t="n"/>
      <c r="F463" s="418" t="n"/>
      <c r="G463" s="418" t="n"/>
      <c r="H463" s="418" t="n"/>
      <c r="I463" s="404">
        <f>SUM(E463:H463)</f>
        <v/>
      </c>
      <c r="J463" s="404" t="n"/>
      <c r="K463" s="404" t="n"/>
      <c r="L463" s="512" t="n"/>
      <c r="M463" s="488" t="n"/>
      <c r="N463" s="488" t="inlineStr">
        <is>
          <t>graph, bfs, cyclic games</t>
        </is>
      </c>
      <c r="O463" s="488" t="n">
        <v>57</v>
      </c>
      <c r="P463" s="488" t="n">
        <v>5.5</v>
      </c>
      <c r="Q463" s="297" t="inlineStr">
        <is>
          <t>p1</t>
        </is>
      </c>
    </row>
    <row r="464" ht="15.75" customHeight="1" s="279">
      <c r="A464" s="420" t="n"/>
      <c r="B464" s="475">
        <f>HYPERLINK("http://codeforces.com/contest/811/problem/D","CF811-D2-D")</f>
        <v/>
      </c>
      <c r="C464" s="418" t="n"/>
      <c r="D464" s="418" t="n"/>
      <c r="E464" s="418" t="n"/>
      <c r="F464" s="418" t="n"/>
      <c r="G464" s="418" t="n"/>
      <c r="H464" s="418" t="n"/>
      <c r="I464" s="404">
        <f>SUM(E464:H464)</f>
        <v/>
      </c>
      <c r="J464" s="418" t="n"/>
      <c r="K464" s="418" t="n"/>
      <c r="L464" s="512" t="n"/>
      <c r="M464" s="488" t="n"/>
      <c r="N464" s="488" t="inlineStr">
        <is>
          <t>graph, bfs, interactive</t>
        </is>
      </c>
      <c r="O464" s="488" t="n">
        <v>57</v>
      </c>
      <c r="P464" s="488" t="n">
        <v>6</v>
      </c>
      <c r="Q464" s="297" t="inlineStr">
        <is>
          <t>p2</t>
        </is>
      </c>
    </row>
    <row r="465" ht="15.75" customHeight="1" s="279">
      <c r="A465" s="420" t="n"/>
      <c r="B465" s="420" t="inlineStr">
        <is>
          <t>UVA 10461</t>
        </is>
      </c>
      <c r="C465" s="418" t="n"/>
      <c r="D465" s="418" t="n"/>
      <c r="E465" s="418" t="n"/>
      <c r="F465" s="418" t="n"/>
      <c r="G465" s="418" t="n"/>
      <c r="H465" s="418" t="n"/>
      <c r="I465" s="404">
        <f>SUM(E465:H465)</f>
        <v/>
      </c>
      <c r="J465" s="404" t="n"/>
      <c r="K465" s="404" t="n"/>
      <c r="L465" s="418" t="n"/>
      <c r="M465" s="420" t="n"/>
      <c r="N465" s="488" t="inlineStr">
        <is>
          <t>graph, dfs, [finish computation times]</t>
        </is>
      </c>
      <c r="O465" s="488" t="n">
        <v>60</v>
      </c>
      <c r="P465" s="488" t="n">
        <v>3</v>
      </c>
      <c r="Q465" s="297" t="inlineStr">
        <is>
          <t>p1</t>
        </is>
      </c>
    </row>
    <row r="466" ht="15.75" customHeight="1" s="279">
      <c r="A466" s="420" t="inlineStr">
        <is>
          <t>Roads in Berland</t>
        </is>
      </c>
      <c r="B466" s="475">
        <f>HYPERLINK("http://codeforces.com/contest/25/problem/C","CF25-D2-C")</f>
        <v/>
      </c>
      <c r="C466" s="418" t="n"/>
      <c r="D466" s="418" t="n"/>
      <c r="E466" s="418" t="n"/>
      <c r="F466" s="418" t="n"/>
      <c r="G466" s="418" t="n"/>
      <c r="H466" s="418" t="n"/>
      <c r="I466" s="404">
        <f>SUM(E466:H466)</f>
        <v/>
      </c>
      <c r="J466" s="418" t="n"/>
      <c r="K466" s="418" t="n"/>
      <c r="L466" s="418" t="n"/>
      <c r="M466" s="420" t="n"/>
      <c r="N466" s="488" t="inlineStr">
        <is>
          <t>graph, dfs</t>
        </is>
      </c>
      <c r="O466" s="488" t="n">
        <v>60</v>
      </c>
      <c r="P466" s="488" t="n">
        <v>4</v>
      </c>
      <c r="Q466" s="297" t="inlineStr">
        <is>
          <t>p2</t>
        </is>
      </c>
    </row>
    <row r="467" ht="15.75" customHeight="1" s="279">
      <c r="A467" s="420" t="inlineStr">
        <is>
          <t>Party</t>
        </is>
      </c>
      <c r="B467" s="475">
        <f>HYPERLINK("http://codeforces.com/contest/116/problem/C","CF116-D2-C")</f>
        <v/>
      </c>
      <c r="C467" s="418" t="n"/>
      <c r="D467" s="418" t="n"/>
      <c r="E467" s="418" t="n"/>
      <c r="F467" s="418" t="n"/>
      <c r="G467" s="418" t="n"/>
      <c r="H467" s="418" t="n"/>
      <c r="I467" s="404">
        <f>SUM(E467:H467)</f>
        <v/>
      </c>
      <c r="J467" s="418" t="n"/>
      <c r="K467" s="418" t="n"/>
      <c r="L467" s="418" t="n"/>
      <c r="M467" s="420" t="n"/>
      <c r="N467" s="488" t="inlineStr">
        <is>
          <t>graph, dfs</t>
        </is>
      </c>
      <c r="O467" s="488" t="n">
        <v>60</v>
      </c>
      <c r="P467" s="488" t="n">
        <v>4</v>
      </c>
      <c r="Q467" s="297" t="inlineStr">
        <is>
          <t>p1</t>
        </is>
      </c>
    </row>
    <row r="468" ht="15.75" customHeight="1" s="279">
      <c r="A468" s="420" t="inlineStr">
        <is>
          <t>Forming Teams</t>
        </is>
      </c>
      <c r="B468" s="475">
        <f>HYPERLINK("http://codeforces.com/contest/216/problem/B","CF216-D2-B")</f>
        <v/>
      </c>
      <c r="C468" s="418" t="n"/>
      <c r="D468" s="418" t="n"/>
      <c r="E468" s="418" t="n"/>
      <c r="F468" s="418" t="n"/>
      <c r="G468" s="418" t="n"/>
      <c r="H468" s="418" t="n"/>
      <c r="I468" s="404">
        <f>SUM(E468:H468)</f>
        <v/>
      </c>
      <c r="J468" s="418" t="n"/>
      <c r="K468" s="404" t="n"/>
      <c r="L468" s="418" t="n"/>
      <c r="M468" s="421">
        <f>HYPERLINK("https://www.youtube.com/watch?v=O4rahDYs9-c","Video Solution - Dr Mostafa Saad")</f>
        <v/>
      </c>
      <c r="N468" s="488" t="inlineStr">
        <is>
          <t>graph, dfs</t>
        </is>
      </c>
      <c r="O468" s="488" t="n">
        <v>60</v>
      </c>
      <c r="P468" s="488" t="n">
        <v>4</v>
      </c>
    </row>
    <row r="469" ht="15.75" customHeight="1" s="279">
      <c r="A469" s="420" t="inlineStr">
        <is>
          <t>Block Tower</t>
        </is>
      </c>
      <c r="B469" s="475">
        <f>HYPERLINK("http://codeforces.com/contest/327/problem/D","CF327-D2-D")</f>
        <v/>
      </c>
      <c r="C469" s="418" t="n"/>
      <c r="D469" s="418" t="n"/>
      <c r="E469" s="418" t="n"/>
      <c r="F469" s="418" t="n"/>
      <c r="G469" s="418" t="n"/>
      <c r="H469" s="418" t="n"/>
      <c r="I469" s="404">
        <f>SUM(E469:H469)</f>
        <v/>
      </c>
      <c r="J469" s="404" t="n"/>
      <c r="K469" s="404" t="n"/>
      <c r="L469" s="418" t="n"/>
      <c r="M469" s="420" t="n"/>
      <c r="N469" s="488" t="inlineStr">
        <is>
          <t>graph, dfs</t>
        </is>
      </c>
      <c r="O469" s="488" t="n">
        <v>60</v>
      </c>
      <c r="P469" s="488" t="n">
        <v>4</v>
      </c>
    </row>
    <row r="470" ht="15.75" customHeight="1" s="279">
      <c r="A470" s="420" t="inlineStr">
        <is>
          <t>Soldier and Cards</t>
        </is>
      </c>
      <c r="B470" s="475">
        <f>HYPERLINK("http://codeforces.com/contest/546/problem/C","CF546-D2-C")</f>
        <v/>
      </c>
      <c r="C470" s="418" t="n"/>
      <c r="D470" s="418" t="n"/>
      <c r="E470" s="418" t="n"/>
      <c r="F470" s="418" t="n"/>
      <c r="G470" s="418" t="n"/>
      <c r="H470" s="418" t="n"/>
      <c r="I470" s="404">
        <f>SUM(E470:H470)</f>
        <v/>
      </c>
      <c r="J470" s="418" t="n"/>
      <c r="K470" s="418" t="n"/>
      <c r="L470" s="418" t="n"/>
      <c r="M470" s="420" t="n"/>
      <c r="N470" s="488" t="inlineStr">
        <is>
          <t>graph, dfs</t>
        </is>
      </c>
      <c r="O470" s="488" t="n">
        <v>60</v>
      </c>
      <c r="P470" s="488" t="n">
        <v>4</v>
      </c>
    </row>
    <row r="471" ht="15.75" customHeight="1" s="279">
      <c r="A471" s="420" t="inlineStr">
        <is>
          <t>Kefa and Park</t>
        </is>
      </c>
      <c r="B471" s="475">
        <f>HYPERLINK("http://codeforces.com/contest/580/problem/C","CF580-D2-C")</f>
        <v/>
      </c>
      <c r="C471" s="418" t="n"/>
      <c r="D471" s="418" t="n"/>
      <c r="E471" s="418" t="n"/>
      <c r="F471" s="418" t="n"/>
      <c r="G471" s="418" t="n"/>
      <c r="H471" s="418" t="n"/>
      <c r="I471" s="404">
        <f>SUM(E471:H471)</f>
        <v/>
      </c>
      <c r="J471" s="404" t="n"/>
      <c r="K471" s="404" t="n"/>
      <c r="L471" s="418" t="n"/>
      <c r="M471" s="475">
        <f>HYPERLINK("https://www.youtube.com/watch?v=ebC3c-YJDIk","Video Solution - Solver to be (Java)")</f>
        <v/>
      </c>
      <c r="N471" s="488" t="inlineStr">
        <is>
          <t>graph, dfs</t>
        </is>
      </c>
      <c r="O471" s="488" t="n">
        <v>60</v>
      </c>
      <c r="P471" s="488" t="n">
        <v>4</v>
      </c>
      <c r="Q471" s="297" t="inlineStr">
        <is>
          <t>p2</t>
        </is>
      </c>
    </row>
    <row r="472" ht="15.75" customHeight="1" s="279">
      <c r="A472" s="420" t="inlineStr">
        <is>
          <t>Maze</t>
        </is>
      </c>
      <c r="B472" s="475">
        <f>HYPERLINK("http://codeforces.com/contest/378/problem/C","CF378-D2-C")</f>
        <v/>
      </c>
      <c r="C472" s="418" t="n"/>
      <c r="D472" s="418" t="n"/>
      <c r="E472" s="418" t="n"/>
      <c r="F472" s="418" t="n"/>
      <c r="G472" s="418" t="n"/>
      <c r="H472" s="418" t="n"/>
      <c r="I472" s="404">
        <f>SUM(E472:H472)</f>
        <v/>
      </c>
      <c r="J472" s="404" t="n"/>
      <c r="K472" s="404" t="n"/>
      <c r="L472" s="418" t="n"/>
      <c r="M472" s="420" t="n"/>
      <c r="N472" s="488" t="inlineStr">
        <is>
          <t>graph, dfs, [reverse thinking]</t>
        </is>
      </c>
      <c r="O472" s="488" t="n">
        <v>60</v>
      </c>
      <c r="P472" s="488" t="n">
        <v>4.5</v>
      </c>
      <c r="Q472" s="297" t="inlineStr">
        <is>
          <t>p1</t>
        </is>
      </c>
    </row>
    <row r="473" ht="15.75" customHeight="1" s="279">
      <c r="A473" s="420" t="inlineStr">
        <is>
          <t>Exchange Rates</t>
        </is>
      </c>
      <c r="B473" s="475">
        <f>HYPERLINK("https://uva.onlinejudge.org/index.php?option=onlinejudge&amp;page=show_problem&amp;problem=1054","UVA 10113")</f>
        <v/>
      </c>
      <c r="C473" s="418" t="n"/>
      <c r="D473" s="418" t="n"/>
      <c r="E473" s="418" t="n"/>
      <c r="F473" s="418" t="n"/>
      <c r="G473" s="418" t="n"/>
      <c r="H473" s="418" t="n"/>
      <c r="I473" s="404">
        <f>SUM(E473:H473)</f>
        <v/>
      </c>
      <c r="J473" s="418" t="n"/>
      <c r="K473" s="418" t="n"/>
      <c r="L473" s="418" t="n"/>
      <c r="M473" s="420" t="n"/>
      <c r="N473" s="488" t="inlineStr">
        <is>
          <t>graph, dfs, impl</t>
        </is>
      </c>
      <c r="O473" s="488" t="n">
        <v>60</v>
      </c>
      <c r="P473" s="488" t="n">
        <v>4.5</v>
      </c>
      <c r="Q473" s="297" t="inlineStr">
        <is>
          <t>p1</t>
        </is>
      </c>
    </row>
    <row r="474" ht="15.75" customHeight="1" s="279">
      <c r="A474" s="420" t="inlineStr">
        <is>
          <t>Ice Cave</t>
        </is>
      </c>
      <c r="B474" s="475">
        <f>HYPERLINK("http://codeforces.com/contest/540/problem/C","CF540-D2-C")</f>
        <v/>
      </c>
      <c r="C474" s="418" t="n"/>
      <c r="D474" s="418" t="n"/>
      <c r="E474" s="418" t="n"/>
      <c r="F474" s="418" t="n"/>
      <c r="G474" s="418" t="n"/>
      <c r="H474" s="418" t="n"/>
      <c r="I474" s="404">
        <f>SUM(E474:H474)</f>
        <v/>
      </c>
      <c r="J474" s="418" t="n"/>
      <c r="K474" s="418" t="n"/>
      <c r="L474" s="418" t="n"/>
      <c r="M474" s="420" t="n"/>
      <c r="N474" s="488" t="inlineStr">
        <is>
          <t>graph, dfs</t>
        </is>
      </c>
      <c r="O474" s="488" t="n">
        <v>60</v>
      </c>
      <c r="P474" s="488" t="n">
        <v>4.5</v>
      </c>
    </row>
    <row r="475" ht="15.75" customHeight="1" s="279">
      <c r="A475" s="420" t="inlineStr">
        <is>
          <t>Ordering</t>
        </is>
      </c>
      <c r="B475" s="475">
        <f>HYPERLINK("https://uva.onlinejudge.org/index.php?option=onlinejudge&amp;page=show_problem&amp;problem=813","UVA 872")</f>
        <v/>
      </c>
      <c r="C475" s="418" t="n"/>
      <c r="D475" s="418" t="n"/>
      <c r="E475" s="418" t="n"/>
      <c r="F475" s="418" t="n"/>
      <c r="G475" s="418" t="n"/>
      <c r="H475" s="418" t="n"/>
      <c r="I475" s="404">
        <f>SUM(E475:H475)</f>
        <v/>
      </c>
      <c r="J475" s="418" t="n"/>
      <c r="K475" s="418" t="n"/>
      <c r="L475" s="418" t="n"/>
      <c r="M475" s="472" t="inlineStr">
        <is>
          <t>Sol</t>
        </is>
      </c>
      <c r="N475" s="488" t="inlineStr">
        <is>
          <t>graph, dfs</t>
        </is>
      </c>
      <c r="O475" s="488" t="n">
        <v>60</v>
      </c>
      <c r="P475" s="488" t="n">
        <v>4.5</v>
      </c>
    </row>
    <row r="476" ht="15.75" customHeight="1" s="279">
      <c r="A476" s="420" t="inlineStr">
        <is>
          <t>Directed Roads</t>
        </is>
      </c>
      <c r="B476" s="475">
        <f>HYPERLINK("http://codeforces.com/contest/711/problem/D","CF711-D2-D")</f>
        <v/>
      </c>
      <c r="C476" s="418" t="n"/>
      <c r="D476" s="418" t="n"/>
      <c r="E476" s="418" t="n"/>
      <c r="F476" s="418" t="n"/>
      <c r="G476" s="418" t="n"/>
      <c r="H476" s="418" t="n"/>
      <c r="I476" s="404">
        <f>SUM(E476:H476)</f>
        <v/>
      </c>
      <c r="J476" s="404" t="n"/>
      <c r="K476" s="404" t="n"/>
      <c r="L476" s="418" t="n"/>
      <c r="M476" s="420" t="n"/>
      <c r="N476" s="488" t="inlineStr">
        <is>
          <t>graph, dfs, combinatorics, formula</t>
        </is>
      </c>
      <c r="O476" s="488" t="n">
        <v>60</v>
      </c>
      <c r="P476" s="488" t="n">
        <v>5</v>
      </c>
      <c r="Q476" s="297" t="inlineStr">
        <is>
          <t>p3</t>
        </is>
      </c>
    </row>
    <row r="477" ht="15.75" customHeight="1" s="279">
      <c r="A477" s="420" t="n"/>
      <c r="B477" s="420" t="inlineStr">
        <is>
          <t>SPOJ BIA</t>
        </is>
      </c>
      <c r="C477" s="418" t="n"/>
      <c r="D477" s="418" t="n"/>
      <c r="E477" s="418" t="n"/>
      <c r="F477" s="418" t="n"/>
      <c r="G477" s="418" t="n"/>
      <c r="H477" s="418" t="n"/>
      <c r="I477" s="404">
        <f>SUM(E477:H477)</f>
        <v/>
      </c>
      <c r="J477" s="418" t="n"/>
      <c r="K477" s="418" t="n"/>
      <c r="L477" s="418" t="n"/>
      <c r="M477" s="475">
        <f>HYPERLINK("https://github.com/MNT95/Competitive-Programming/blob/master/SPOJ/BIA.cpp?fbclid=IwAR1xR9CTVVj2L_Hr-1m5uIqAFHRc8Bh78z11v46sPyVjHwHeE3MvPrcMbn8","Sol")</f>
        <v/>
      </c>
      <c r="N477" s="488" t="inlineStr">
        <is>
          <t>graph, dfs or directed articulation points algorithm</t>
        </is>
      </c>
      <c r="O477" s="488" t="n">
        <v>60</v>
      </c>
      <c r="P477" s="488" t="n">
        <v>5</v>
      </c>
      <c r="Q477" s="297" t="inlineStr">
        <is>
          <t>p2</t>
        </is>
      </c>
    </row>
    <row r="478" ht="15.75" customHeight="1" s="279">
      <c r="A478" s="420" t="inlineStr">
        <is>
          <t>Choosing Capital for Treeland</t>
        </is>
      </c>
      <c r="B478" s="475">
        <f>HYPERLINK("http://codeforces.com/contest/219/problem/D","CF219-D2-D")</f>
        <v/>
      </c>
      <c r="C478" s="418" t="n"/>
      <c r="D478" s="418" t="n"/>
      <c r="E478" s="418" t="n"/>
      <c r="F478" s="418" t="n"/>
      <c r="G478" s="418" t="n"/>
      <c r="H478" s="418" t="n"/>
      <c r="I478" s="404">
        <f>SUM(E478:H478)</f>
        <v/>
      </c>
      <c r="J478" s="418" t="n"/>
      <c r="K478" s="418" t="n"/>
      <c r="L478" s="512" t="n"/>
      <c r="M478" s="488" t="n"/>
      <c r="N478" s="488" t="inlineStr">
        <is>
          <t>graph, dfs or dp_trees</t>
        </is>
      </c>
      <c r="O478" s="488" t="n">
        <v>60</v>
      </c>
      <c r="P478" s="488" t="n">
        <v>5</v>
      </c>
    </row>
    <row r="479" ht="15.75" customHeight="1" s="279">
      <c r="A479" s="420" t="n"/>
      <c r="B479" s="475">
        <f>HYPERLINK("http://codeforces.com/contest/1075/problem/D","CF1075-D2-D")</f>
        <v/>
      </c>
      <c r="C479" s="418" t="n"/>
      <c r="D479" s="418" t="n"/>
      <c r="E479" s="418" t="n"/>
      <c r="F479" s="418" t="n"/>
      <c r="G479" s="418" t="n"/>
      <c r="H479" s="418" t="n"/>
      <c r="I479" s="404">
        <f>SUM(E479:H479)</f>
        <v/>
      </c>
      <c r="J479" s="418" t="n"/>
      <c r="K479" s="418" t="n"/>
      <c r="L479" s="418" t="n"/>
      <c r="M479" s="420" t="n"/>
      <c r="N479" s="488" t="inlineStr">
        <is>
          <t>graph, dfs, interactive</t>
        </is>
      </c>
      <c r="O479" s="488" t="n">
        <v>60</v>
      </c>
      <c r="P479" s="488" t="n">
        <v>5.5</v>
      </c>
      <c r="Q479" s="297" t="inlineStr">
        <is>
          <t>p3</t>
        </is>
      </c>
    </row>
    <row r="480" ht="15.75" customHeight="1" s="279">
      <c r="A480" s="420" t="inlineStr">
        <is>
          <t>Infinite Maze</t>
        </is>
      </c>
      <c r="B480" s="475">
        <f>HYPERLINK("http://codeforces.com/contest/197/problem/D","CF197-D2-D")</f>
        <v/>
      </c>
      <c r="C480" s="418" t="n"/>
      <c r="D480" s="418" t="n"/>
      <c r="E480" s="418" t="n"/>
      <c r="F480" s="418" t="n"/>
      <c r="G480" s="418" t="n"/>
      <c r="H480" s="418" t="n"/>
      <c r="I480" s="404">
        <f>SUM(E480:H480)</f>
        <v/>
      </c>
      <c r="J480" s="404" t="n"/>
      <c r="K480" s="404" t="n"/>
      <c r="L480" s="418" t="n"/>
      <c r="M480" s="420" t="n"/>
      <c r="N480" s="488" t="inlineStr">
        <is>
          <t>graph, dfs</t>
        </is>
      </c>
      <c r="O480" s="488" t="n">
        <v>60</v>
      </c>
      <c r="P480" s="488" t="n">
        <v>5.5</v>
      </c>
    </row>
    <row r="481" ht="15.75" customHeight="1" s="279">
      <c r="A481" s="420" t="inlineStr">
        <is>
          <t>Cycle in Graph</t>
        </is>
      </c>
      <c r="B481" s="475">
        <f>HYPERLINK("http://codeforces.com/contest/263/problem/D","CF263-D2-D")</f>
        <v/>
      </c>
      <c r="C481" s="418" t="n"/>
      <c r="D481" s="418" t="n"/>
      <c r="E481" s="418" t="n"/>
      <c r="F481" s="418" t="n"/>
      <c r="G481" s="418" t="n"/>
      <c r="H481" s="418" t="n"/>
      <c r="I481" s="404">
        <f>SUM(E481:H481)</f>
        <v/>
      </c>
      <c r="J481" s="418" t="n"/>
      <c r="K481" s="418" t="n"/>
      <c r="L481" s="418" t="n"/>
      <c r="M481" s="420" t="n"/>
      <c r="N481" s="488" t="inlineStr">
        <is>
          <t>graph, dfs</t>
        </is>
      </c>
      <c r="O481" s="488" t="n">
        <v>60</v>
      </c>
      <c r="P481" s="488" t="n">
        <v>5.5</v>
      </c>
    </row>
    <row r="482" ht="15.75" customHeight="1" s="279">
      <c r="A482" s="420" t="inlineStr">
        <is>
          <t>T-decomposition</t>
        </is>
      </c>
      <c r="B482" s="475">
        <f>HYPERLINK("http://codeforces.com/contest/237/problem/D","CF237-D2-D")</f>
        <v/>
      </c>
      <c r="C482" s="418" t="n"/>
      <c r="D482" s="418" t="n"/>
      <c r="E482" s="418" t="n"/>
      <c r="F482" s="418" t="n"/>
      <c r="G482" s="418" t="n"/>
      <c r="H482" s="418" t="n"/>
      <c r="I482" s="404">
        <f>SUM(E482:H482)</f>
        <v/>
      </c>
      <c r="J482" s="404" t="n"/>
      <c r="K482" s="404" t="n"/>
      <c r="L482" s="512" t="n"/>
      <c r="M482" s="420" t="n"/>
      <c r="N482" s="488" t="inlineStr">
        <is>
          <t>graph, dfs, greedy</t>
        </is>
      </c>
      <c r="O482" s="488" t="n">
        <v>60</v>
      </c>
      <c r="P482" s="488" t="n">
        <v>5.5</v>
      </c>
    </row>
    <row r="483" ht="15.75" customHeight="1" s="279">
      <c r="A483" s="420" t="inlineStr">
        <is>
          <t>Robbery</t>
        </is>
      </c>
      <c r="B483" s="475">
        <f>HYPERLINK("https://uva.onlinejudge.org/index.php?option=com_onlinejudge&amp;Itemid=8&amp;page=show_problem&amp;problem=648","UVA 707")</f>
        <v/>
      </c>
      <c r="C483" s="418" t="n"/>
      <c r="D483" s="418" t="n"/>
      <c r="E483" s="418" t="n"/>
      <c r="F483" s="418" t="n"/>
      <c r="G483" s="418" t="n"/>
      <c r="H483" s="418" t="n"/>
      <c r="I483" s="404">
        <f>SUM(E483:H483)</f>
        <v/>
      </c>
      <c r="J483" s="404" t="n"/>
      <c r="K483" s="404" t="n"/>
      <c r="L483" s="418" t="n"/>
      <c r="M483" s="493">
        <f>HYPERLINK("https://github.com/VAMPIER000001/CompetitiveProgramming/blob/master/UVA/V-7/UVA%20707.Cpp","Sol")</f>
        <v/>
      </c>
      <c r="N483" s="488" t="inlineStr">
        <is>
          <t>graph, dfs or dp</t>
        </is>
      </c>
      <c r="O483" s="488" t="n">
        <v>60</v>
      </c>
      <c r="P483" s="488" t="n">
        <v>5.75</v>
      </c>
    </row>
    <row r="484" ht="15.75" customHeight="1" s="279">
      <c r="A484" s="420" t="inlineStr">
        <is>
          <t>Persistent Bookcase</t>
        </is>
      </c>
      <c r="B484" s="475">
        <f>HYPERLINK("http://codeforces.com/contest/707/problem/D","CF707-D2-D")</f>
        <v/>
      </c>
      <c r="C484" s="418" t="n"/>
      <c r="D484" s="418" t="n"/>
      <c r="E484" s="418" t="n"/>
      <c r="F484" s="418" t="n"/>
      <c r="G484" s="418" t="n"/>
      <c r="H484" s="418" t="n"/>
      <c r="I484" s="404">
        <f>SUM(E484:H484)</f>
        <v/>
      </c>
      <c r="J484" s="404" t="n"/>
      <c r="K484" s="404" t="n"/>
      <c r="L484" s="512" t="n"/>
      <c r="M484" s="493">
        <f>HYPERLINK("https://github.com/AbdelrahmanRamadan/competitive-programming/blob/master/Codeforces/CF707-D2-D.cpp","Sol")</f>
        <v/>
      </c>
      <c r="N484" s="488" t="inlineStr">
        <is>
          <t>graph, dfs, bitset or persistent segment tree</t>
        </is>
      </c>
      <c r="O484" s="488" t="n">
        <v>60</v>
      </c>
      <c r="P484" s="488" t="n">
        <v>6</v>
      </c>
      <c r="Q484" s="297" t="inlineStr">
        <is>
          <t>p3</t>
        </is>
      </c>
    </row>
    <row r="485" ht="15.75" customHeight="1" s="279">
      <c r="A485" s="420" t="inlineStr">
        <is>
          <t>Moodular Arithmetic</t>
        </is>
      </c>
      <c r="B485" s="475">
        <f>HYPERLINK("http://codeforces.com/contest/604/problem/D","CF604-D2-D")</f>
        <v/>
      </c>
      <c r="C485" s="418" t="n"/>
      <c r="D485" s="418" t="n"/>
      <c r="E485" s="418" t="n"/>
      <c r="F485" s="418" t="n"/>
      <c r="G485" s="418" t="n"/>
      <c r="H485" s="418" t="n"/>
      <c r="I485" s="404">
        <f>SUM(E485:H485)</f>
        <v/>
      </c>
      <c r="J485" s="418" t="n"/>
      <c r="K485" s="418" t="n"/>
      <c r="L485" s="512" t="n"/>
      <c r="M485" s="493">
        <f>HYPERLINK("https://github.com/MohamedNabil97/CompetitiveProgramming/blob/master/CodeForces/CF604-D2-D.cpp","Sol")</f>
        <v/>
      </c>
      <c r="N485" s="488" t="inlineStr">
        <is>
          <t>graph, dfs, fermat, [rearangement propperty or congruence]</t>
        </is>
      </c>
      <c r="O485" s="488" t="n">
        <v>60</v>
      </c>
      <c r="P485" s="488" t="n">
        <v>6</v>
      </c>
      <c r="Q485" s="297" t="inlineStr">
        <is>
          <t>p2</t>
        </is>
      </c>
    </row>
    <row r="486" ht="15.75" customHeight="1" s="279">
      <c r="A486" s="420" t="inlineStr">
        <is>
          <t>The Seasonal War</t>
        </is>
      </c>
      <c r="B486" s="475">
        <f>HYPERLINK("https://uva.onlinejudge.org/index.php?option=onlinejudge&amp;page=show_problem&amp;problem=288","UVA 352")</f>
        <v/>
      </c>
      <c r="C486" s="418" t="n"/>
      <c r="D486" s="418" t="n"/>
      <c r="E486" s="418" t="n"/>
      <c r="F486" s="418" t="n"/>
      <c r="G486" s="418" t="n"/>
      <c r="H486" s="418" t="n"/>
      <c r="I486" s="404">
        <f>SUM(E486:H486)</f>
        <v/>
      </c>
      <c r="J486" s="418" t="n"/>
      <c r="K486" s="404" t="n"/>
      <c r="L486" s="418" t="n"/>
      <c r="M486" s="421">
        <f>HYPERLINK("https://www.youtube.com/watch?v=-nRiMjHEIUg","Video Solution - Eng Mohamed Nasser")</f>
        <v/>
      </c>
      <c r="N486" s="488" t="inlineStr">
        <is>
          <t>graph, dfs, flood-fill</t>
        </is>
      </c>
      <c r="O486" s="488" t="n">
        <v>61</v>
      </c>
      <c r="P486" s="488" t="n">
        <v>2</v>
      </c>
    </row>
    <row r="487" ht="15.75" customHeight="1" s="279">
      <c r="A487" s="420" t="inlineStr">
        <is>
          <t>Battleships</t>
        </is>
      </c>
      <c r="B487" s="475">
        <f>HYPERLINK("https://uva.onlinejudge.org/index.php?option=com_onlinejudge&amp;Itemid=8&amp;page=show_problem&amp;problem=3104","UVA 11953")</f>
        <v/>
      </c>
      <c r="C487" s="418" t="n"/>
      <c r="D487" s="418" t="n"/>
      <c r="E487" s="418" t="n"/>
      <c r="F487" s="418" t="n"/>
      <c r="G487" s="418" t="n"/>
      <c r="H487" s="418" t="n"/>
      <c r="I487" s="404">
        <f>SUM(E487:H487)</f>
        <v/>
      </c>
      <c r="J487" s="418" t="n"/>
      <c r="K487" s="404" t="n"/>
      <c r="L487" s="418" t="n"/>
      <c r="M487" s="421">
        <f>HYPERLINK("https://www.youtube.com/watch?v=nvPucDrmErI","Video Solution - Eng Aya Elymany")</f>
        <v/>
      </c>
      <c r="N487" s="488" t="inlineStr">
        <is>
          <t>graph, dfs, flood-fill</t>
        </is>
      </c>
      <c r="O487" s="488" t="n">
        <v>61</v>
      </c>
      <c r="P487" s="488" t="n">
        <v>3.5</v>
      </c>
    </row>
    <row r="488" ht="15.75" customHeight="1" s="279">
      <c r="A488" s="420" t="inlineStr">
        <is>
          <t>Maze Exploration</t>
        </is>
      </c>
      <c r="B488" s="475">
        <f>HYPERLINK("https://uva.onlinejudge.org/index.php?option=onlinejudge&amp;page=show_problem&amp;problem=725","UVA 784")</f>
        <v/>
      </c>
      <c r="C488" s="418" t="n"/>
      <c r="D488" s="418" t="n"/>
      <c r="E488" s="418" t="n"/>
      <c r="F488" s="418" t="n"/>
      <c r="G488" s="418" t="n"/>
      <c r="H488" s="418" t="n"/>
      <c r="I488" s="404">
        <f>SUM(E488:H488)</f>
        <v/>
      </c>
      <c r="J488" s="404" t="n"/>
      <c r="K488" s="404" t="n"/>
      <c r="L488" s="418" t="n"/>
      <c r="M488" s="475">
        <f>HYPERLINK("https://www.youtube.com/watch?v=khOAL6TflhE&amp;feature=youtu.be","Video Solution - Eng Mahmoud Adel")</f>
        <v/>
      </c>
      <c r="N488" s="488" t="inlineStr">
        <is>
          <t>graph, dfs, flood-fill</t>
        </is>
      </c>
      <c r="O488" s="488" t="n">
        <v>61</v>
      </c>
      <c r="P488" s="488" t="n">
        <v>3.5</v>
      </c>
    </row>
    <row r="489" ht="15.75" customHeight="1" s="279">
      <c r="A489" s="420" t="inlineStr">
        <is>
          <t>Continents</t>
        </is>
      </c>
      <c r="B489" s="475">
        <f>HYPERLINK("https://uva.onlinejudge.org/index.php?option=onlinejudge&amp;page=show_problem&amp;problem=2035","UVA 11094")</f>
        <v/>
      </c>
      <c r="C489" s="418" t="n"/>
      <c r="D489" s="418" t="n"/>
      <c r="E489" s="418" t="n"/>
      <c r="F489" s="418" t="n"/>
      <c r="G489" s="418" t="n"/>
      <c r="H489" s="418" t="n"/>
      <c r="I489" s="404">
        <f>SUM(E489:H489)</f>
        <v/>
      </c>
      <c r="J489" s="404" t="n"/>
      <c r="K489" s="404" t="n"/>
      <c r="L489" s="418" t="n"/>
      <c r="M489" s="475">
        <f>HYPERLINK("https://www.youtube.com/watch?v=vLuFqaQ40RI","Video Solution - Eng Ayman Salah")</f>
        <v/>
      </c>
      <c r="N489" s="488" t="inlineStr">
        <is>
          <t>graph, dfs, flood-fill</t>
        </is>
      </c>
      <c r="O489" s="488" t="n">
        <v>61</v>
      </c>
      <c r="P489" s="488" t="n">
        <v>4</v>
      </c>
    </row>
    <row r="490" ht="15.75" customHeight="1" s="279">
      <c r="A490" s="420" t="n"/>
      <c r="B490" s="420" t="inlineStr">
        <is>
          <t>SRM297-D1-500</t>
        </is>
      </c>
      <c r="C490" s="418" t="n"/>
      <c r="D490" s="418" t="n"/>
      <c r="E490" s="418" t="n"/>
      <c r="F490" s="418" t="n"/>
      <c r="G490" s="418" t="n"/>
      <c r="H490" s="418" t="n"/>
      <c r="I490" s="404">
        <f>SUM(E490:H490)</f>
        <v/>
      </c>
      <c r="J490" s="404" t="n"/>
      <c r="K490" s="404" t="n"/>
      <c r="L490" s="418" t="n"/>
      <c r="M490" s="420" t="n"/>
      <c r="N490" s="488" t="inlineStr">
        <is>
          <t>graph, dfs, flood-fill or bfs, bf</t>
        </is>
      </c>
      <c r="O490" s="488" t="n">
        <v>61</v>
      </c>
      <c r="P490" s="488" t="n">
        <v>5</v>
      </c>
      <c r="Q490" s="297" t="inlineStr">
        <is>
          <t>p3</t>
        </is>
      </c>
    </row>
    <row r="491" ht="15.75" customHeight="1" s="279">
      <c r="A491" s="420" t="inlineStr">
        <is>
          <t>Equivalent Strings</t>
        </is>
      </c>
      <c r="B491" s="475">
        <f>HYPERLINK("http://codeforces.com/contest/560/problem/D","CF560-D2-D")</f>
        <v/>
      </c>
      <c r="C491" s="418" t="n"/>
      <c r="D491" s="418" t="n"/>
      <c r="E491" s="418" t="n"/>
      <c r="F491" s="418" t="n"/>
      <c r="G491" s="418" t="n"/>
      <c r="H491" s="418" t="n"/>
      <c r="I491" s="404">
        <f>SUM(E491:H491)</f>
        <v/>
      </c>
      <c r="J491" s="404" t="n"/>
      <c r="K491" s="404" t="n"/>
      <c r="L491" s="512" t="n"/>
      <c r="M491" s="493">
        <f>HYPERLINK("https://github.com/VAMPIER000001/CompetitiveProgramming/blob/6ffe2c80fe5aba2bf2d901503b96f1b90053462a/CF/CF560-D2-D(2).Cpp","Sol to learn")</f>
        <v/>
      </c>
      <c r="N491" s="488" t="inlineStr">
        <is>
          <t>graph, dfs, isomorphism or d&amp;c, hashing</t>
        </is>
      </c>
      <c r="O491" s="488" t="n">
        <v>62</v>
      </c>
      <c r="P491" s="488" t="n">
        <v>4</v>
      </c>
      <c r="Q491" s="297" t="inlineStr">
        <is>
          <t>p2</t>
        </is>
      </c>
    </row>
    <row r="492" ht="15.75" customHeight="1" s="279">
      <c r="A492" s="420" t="inlineStr">
        <is>
          <t>Subway tree systems</t>
        </is>
      </c>
      <c r="B492" s="475">
        <f>HYPERLINK("https://icpcarchive.ecs.baylor.edu/index.php?option=com_onlinejudge&amp;Itemid=8&amp;page=show_problem&amp;problem=936","LIVEARCHIVE 2935")</f>
        <v/>
      </c>
      <c r="C492" s="418" t="n"/>
      <c r="D492" s="418" t="n"/>
      <c r="E492" s="418" t="n"/>
      <c r="F492" s="418" t="n"/>
      <c r="G492" s="418" t="n"/>
      <c r="H492" s="418" t="n"/>
      <c r="I492" s="404">
        <f>SUM(E492:H492)</f>
        <v/>
      </c>
      <c r="J492" s="404" t="n"/>
      <c r="K492" s="404" t="n"/>
      <c r="L492" s="418" t="n"/>
      <c r="M492" s="493">
        <f>HYPERLINK("https://github.com/mostafa-saad/MyCompetitiveProgramming/blob/master/LiveArchive/LiveArchive_2935.txt","Sol")</f>
        <v/>
      </c>
      <c r="N492" s="488" t="inlineStr">
        <is>
          <t>graph, dfs, isomorphism, canonical form or adhoc decomposition</t>
        </is>
      </c>
      <c r="O492" s="488" t="n">
        <v>62</v>
      </c>
      <c r="P492" s="488" t="n">
        <v>4.5</v>
      </c>
      <c r="Q492" s="297" t="inlineStr">
        <is>
          <t>p4</t>
        </is>
      </c>
    </row>
    <row r="493" ht="15.75" customHeight="1" s="279">
      <c r="A493" s="420" t="inlineStr">
        <is>
          <t>Hierarchy</t>
        </is>
      </c>
      <c r="B493" s="475">
        <f>HYPERLINK("http://www.spoj.com/problems/MAKETREE/","SPOJ MAKETREE")</f>
        <v/>
      </c>
      <c r="C493" s="418" t="n"/>
      <c r="D493" s="418" t="n"/>
      <c r="E493" s="418" t="n"/>
      <c r="F493" s="418" t="n"/>
      <c r="G493" s="418" t="n"/>
      <c r="H493" s="418" t="n"/>
      <c r="I493" s="404">
        <f>SUM(E493:H493)</f>
        <v/>
      </c>
      <c r="J493" s="418" t="n"/>
      <c r="K493" s="404" t="n"/>
      <c r="L493" s="418" t="n"/>
      <c r="M493" s="422">
        <f>HYPERLINK("https://www.youtube.com/watch?v=Rmi_2e6gt5M","Video Solution - Eng Yahia Ashraf")</f>
        <v/>
      </c>
      <c r="N493" s="488" t="inlineStr">
        <is>
          <t>graph, dfs, topological sort</t>
        </is>
      </c>
      <c r="O493" s="488" t="n">
        <v>63</v>
      </c>
      <c r="P493" s="488" t="n">
        <v>2</v>
      </c>
    </row>
    <row r="494" ht="15.75" customHeight="1" s="279">
      <c r="A494" s="420" t="inlineStr">
        <is>
          <t>Ordering Tasks</t>
        </is>
      </c>
      <c r="B494" s="475">
        <f>HYPERLINK("https://uva.onlinejudge.org/index.php?option=onlinejudge&amp;page=show_problem&amp;problem=1246","UVA 10305")</f>
        <v/>
      </c>
      <c r="C494" s="418" t="n"/>
      <c r="D494" s="418" t="n"/>
      <c r="E494" s="418" t="n"/>
      <c r="F494" s="418" t="n"/>
      <c r="G494" s="418" t="n"/>
      <c r="H494" s="418" t="n"/>
      <c r="I494" s="404">
        <f>SUM(E494:H494)</f>
        <v/>
      </c>
      <c r="J494" s="418" t="n"/>
      <c r="K494" s="404" t="n"/>
      <c r="L494" s="418" t="n"/>
      <c r="M494" s="422">
        <f>HYPERLINK("https://www.youtube.com/watch?v=4t-4ZC8BRj8","Video Solution - Eng Yahia Ashraf")</f>
        <v/>
      </c>
      <c r="N494" s="488" t="inlineStr">
        <is>
          <t>graph, dfs, topological sort</t>
        </is>
      </c>
      <c r="O494" s="488" t="n">
        <v>63</v>
      </c>
      <c r="P494" s="488" t="n">
        <v>3</v>
      </c>
    </row>
    <row r="495" ht="15.75" customHeight="1" s="279">
      <c r="A495" s="420" t="n"/>
      <c r="B495" s="420" t="inlineStr">
        <is>
          <t>SRM419-D2-1000</t>
        </is>
      </c>
      <c r="C495" s="418" t="n"/>
      <c r="D495" s="418" t="n"/>
      <c r="E495" s="418" t="n"/>
      <c r="F495" s="418" t="n"/>
      <c r="G495" s="418" t="n"/>
      <c r="H495" s="418" t="n"/>
      <c r="I495" s="404">
        <f>SUM(E495:H495)</f>
        <v/>
      </c>
      <c r="J495" s="418" t="n"/>
      <c r="K495" s="418" t="n"/>
      <c r="L495" s="512" t="n"/>
      <c r="M495" s="488" t="n"/>
      <c r="N495" s="488" t="inlineStr">
        <is>
          <t>graph, dfs, topological sort, cycles</t>
        </is>
      </c>
      <c r="O495" s="488" t="n">
        <v>63</v>
      </c>
      <c r="P495" s="488" t="n">
        <v>4</v>
      </c>
      <c r="Q495" s="304" t="n"/>
    </row>
    <row r="496" ht="15.75" customHeight="1" s="279">
      <c r="A496" s="420" t="inlineStr">
        <is>
          <t>Spreadsheet</t>
        </is>
      </c>
      <c r="B496" s="475">
        <f>HYPERLINK("https://uva.onlinejudge.org/index.php?option=com_onlinejudge&amp;Itemid=8&amp;page=show_problem&amp;problem=132","UVA 196")</f>
        <v/>
      </c>
      <c r="C496" s="418" t="n"/>
      <c r="D496" s="418" t="n"/>
      <c r="E496" s="418" t="n"/>
      <c r="F496" s="418" t="n"/>
      <c r="G496" s="418" t="n"/>
      <c r="H496" s="418" t="n"/>
      <c r="I496" s="404">
        <f>SUM(E496:H496)</f>
        <v/>
      </c>
      <c r="J496" s="418" t="n"/>
      <c r="K496" s="418" t="n"/>
      <c r="L496" s="418" t="n"/>
      <c r="M496" s="472" t="inlineStr">
        <is>
          <t>Sol</t>
        </is>
      </c>
      <c r="N496" s="488" t="inlineStr">
        <is>
          <t>graph, dfs, topological sort or dp</t>
        </is>
      </c>
      <c r="O496" s="488" t="n">
        <v>63</v>
      </c>
      <c r="P496" s="488" t="n">
        <v>4</v>
      </c>
      <c r="Q496" s="297" t="inlineStr">
        <is>
          <t>p3</t>
        </is>
      </c>
    </row>
    <row r="497" ht="15.75" customHeight="1" s="279">
      <c r="A497" s="420" t="inlineStr">
        <is>
          <t>Rankings</t>
        </is>
      </c>
      <c r="B497" s="475">
        <f>HYPERLINK("https://uva.onlinejudge.org/index.php?option=com_onlinejudge&amp;Itemid=8&amp;page=show_problem&amp;problem=3415","UVA 12263")</f>
        <v/>
      </c>
      <c r="C497" s="418" t="n"/>
      <c r="D497" s="418" t="n"/>
      <c r="E497" s="418" t="n"/>
      <c r="F497" s="418" t="n"/>
      <c r="G497" s="418" t="n"/>
      <c r="H497" s="418" t="n"/>
      <c r="I497" s="404">
        <f>SUM(E497:H497)</f>
        <v/>
      </c>
      <c r="J497" s="404" t="n"/>
      <c r="K497" s="404" t="n"/>
      <c r="L497" s="404" t="n"/>
      <c r="M497" s="408">
        <f>HYPERLINK("https://github.com/mostafa-saad/MyCompetitiveProgramming/blob/master/UVA/UVA_12263.txt","Sol")</f>
        <v/>
      </c>
      <c r="N497" s="488" t="inlineStr">
        <is>
          <t>graph, dfs, topological sort</t>
        </is>
      </c>
      <c r="O497" s="488" t="n">
        <v>63</v>
      </c>
      <c r="P497" s="488" t="n">
        <v>4</v>
      </c>
      <c r="Q497" s="297" t="inlineStr">
        <is>
          <t>p2</t>
        </is>
      </c>
    </row>
    <row r="498" ht="15.75" customHeight="1" s="279">
      <c r="A498" s="420" t="inlineStr">
        <is>
          <t>Pick up sticks</t>
        </is>
      </c>
      <c r="B498" s="475">
        <f>HYPERLINK("https://uva.onlinejudge.org/index.php?option=com_onlinejudge&amp;Itemid=8&amp;page=show_problem&amp;problem=2733","UVA 11686")</f>
        <v/>
      </c>
      <c r="C498" s="418" t="n"/>
      <c r="D498" s="418" t="n"/>
      <c r="E498" s="418" t="n"/>
      <c r="F498" s="418" t="n"/>
      <c r="G498" s="418" t="n"/>
      <c r="H498" s="418" t="n"/>
      <c r="I498" s="404">
        <f>SUM(E498:H498)</f>
        <v/>
      </c>
      <c r="J498" s="418" t="n"/>
      <c r="K498" s="418" t="n"/>
      <c r="L498" s="418" t="n"/>
      <c r="M498" s="493">
        <f>HYPERLINK("https://github.com/VAMPIER000001/CompetitiveProgramming/blob/master/UVA/V-116/UVA%2011686.Cpp","Sol")</f>
        <v/>
      </c>
      <c r="N498" s="488" t="inlineStr">
        <is>
          <t>graph, dfs, topological sort, detect cycles</t>
        </is>
      </c>
      <c r="O498" s="488" t="n">
        <v>63</v>
      </c>
      <c r="P498" s="488" t="n">
        <v>4</v>
      </c>
    </row>
    <row r="499" ht="15.75" customHeight="1" s="279">
      <c r="A499" s="420" t="n"/>
      <c r="B499" s="420" t="inlineStr">
        <is>
          <t>SRM550-D2-1000</t>
        </is>
      </c>
      <c r="C499" s="418" t="n"/>
      <c r="D499" s="418" t="n"/>
      <c r="E499" s="418" t="n"/>
      <c r="F499" s="418" t="n"/>
      <c r="G499" s="418" t="n"/>
      <c r="H499" s="418" t="n"/>
      <c r="I499" s="404">
        <f>SUM(E499:H499)</f>
        <v/>
      </c>
      <c r="J499" s="418" t="n"/>
      <c r="K499" s="418" t="n"/>
      <c r="L499" s="418" t="n"/>
      <c r="M499" s="488" t="n"/>
      <c r="N499" s="488" t="inlineStr">
        <is>
          <t>graph, dfs, topological sort</t>
        </is>
      </c>
      <c r="O499" s="488" t="n">
        <v>63</v>
      </c>
      <c r="P499" s="488" t="n">
        <v>5</v>
      </c>
      <c r="Q499" s="297" t="inlineStr">
        <is>
          <t>p3</t>
        </is>
      </c>
    </row>
    <row r="500" ht="15.75" customHeight="1" s="279">
      <c r="A500" s="420" t="inlineStr">
        <is>
          <t>Robot Rapping Results Report time</t>
        </is>
      </c>
      <c r="B500" s="475">
        <f>HYPERLINK("http://codeforces.com/contest/645/problem/D","CF645-D12-D")</f>
        <v/>
      </c>
      <c r="C500" s="418" t="n"/>
      <c r="D500" s="418" t="n"/>
      <c r="E500" s="418" t="n"/>
      <c r="F500" s="418" t="n"/>
      <c r="G500" s="418" t="n"/>
      <c r="H500" s="418" t="n"/>
      <c r="I500" s="404">
        <f>SUM(E500:H500)</f>
        <v/>
      </c>
      <c r="J500" s="418" t="n"/>
      <c r="K500" s="418" t="n"/>
      <c r="L500" s="418" t="n"/>
      <c r="M500" s="488" t="n"/>
      <c r="N500" s="488" t="inlineStr">
        <is>
          <t>graph, dfs, topological sort, binary search</t>
        </is>
      </c>
      <c r="O500" s="488" t="n">
        <v>63</v>
      </c>
      <c r="P500" s="488" t="n">
        <v>5</v>
      </c>
      <c r="Q500" s="297" t="inlineStr">
        <is>
          <t>p3</t>
        </is>
      </c>
    </row>
    <row r="501" ht="15.75" customHeight="1" s="279">
      <c r="A501" s="420" t="inlineStr">
        <is>
          <t>Gifts by the List</t>
        </is>
      </c>
      <c r="B501" s="475">
        <f>HYPERLINK("http://codeforces.com/contest/681/problem/D","CF681-D2-D")</f>
        <v/>
      </c>
      <c r="C501" s="418" t="n"/>
      <c r="D501" s="418" t="n"/>
      <c r="E501" s="418" t="n"/>
      <c r="F501" s="418" t="n"/>
      <c r="G501" s="418" t="n"/>
      <c r="H501" s="418" t="n"/>
      <c r="I501" s="404">
        <f>SUM(E501:H501)</f>
        <v/>
      </c>
      <c r="J501" s="404" t="n"/>
      <c r="K501" s="404" t="n"/>
      <c r="L501" s="418" t="n"/>
      <c r="M501" s="488" t="n"/>
      <c r="N501" s="488" t="inlineStr">
        <is>
          <t>graph, dfs, topological sort, impl</t>
        </is>
      </c>
      <c r="O501" s="488" t="n">
        <v>63</v>
      </c>
      <c r="P501" s="488" t="n">
        <v>5</v>
      </c>
      <c r="Q501" s="297" t="inlineStr">
        <is>
          <t>p2</t>
        </is>
      </c>
    </row>
    <row r="502" ht="15.75" customHeight="1" s="279">
      <c r="A502" s="420" t="inlineStr">
        <is>
          <t>Sagheer and Kindergarten</t>
        </is>
      </c>
      <c r="B502" s="475">
        <f>HYPERLINK("http://codeforces.com/contest/812/problem/D","CF812-D2-D")</f>
        <v/>
      </c>
      <c r="C502" s="418" t="n"/>
      <c r="D502" s="418" t="n"/>
      <c r="E502" s="418" t="n"/>
      <c r="F502" s="418" t="n"/>
      <c r="G502" s="418" t="n"/>
      <c r="H502" s="418" t="n"/>
      <c r="I502" s="404">
        <f>SUM(E502:H502)</f>
        <v/>
      </c>
      <c r="J502" s="404" t="n"/>
      <c r="K502" s="404" t="n"/>
      <c r="L502" s="418" t="n"/>
      <c r="M502" s="493">
        <f>HYPERLINK("https://github.com/BRAINOOOO/CompetitiveProgramming/blob/master/CF/CF812-D2-D","Sol")</f>
        <v/>
      </c>
      <c r="N502" s="488" t="inlineStr">
        <is>
          <t>graph, dfs, topological sort or euler, [https://www.youtube.com/watch?v=o7bnky7weto]</t>
        </is>
      </c>
      <c r="O502" s="488" t="n">
        <v>63</v>
      </c>
      <c r="P502" s="488" t="n">
        <v>6</v>
      </c>
      <c r="Q502" s="297" t="inlineStr">
        <is>
          <t>p4</t>
        </is>
      </c>
    </row>
    <row r="503" ht="15.75" customHeight="1" s="279">
      <c r="A503" s="420" t="inlineStr">
        <is>
          <t>Shopping</t>
        </is>
      </c>
      <c r="B503" s="475">
        <f>HYPERLINK("http://www.spoj.com/problems/SHOP/","SPOJ SHOP")</f>
        <v/>
      </c>
      <c r="C503" s="418" t="n"/>
      <c r="D503" s="418" t="n"/>
      <c r="E503" s="418" t="n"/>
      <c r="F503" s="418" t="n"/>
      <c r="G503" s="418" t="n"/>
      <c r="H503" s="418" t="n"/>
      <c r="I503" s="404">
        <f>SUM(E503:H503)</f>
        <v/>
      </c>
      <c r="J503" s="404" t="n"/>
      <c r="K503" s="404" t="n"/>
      <c r="L503" s="418" t="n"/>
      <c r="M503" s="420" t="n"/>
      <c r="N503" s="488" t="inlineStr">
        <is>
          <t>graph, dijkstra</t>
        </is>
      </c>
      <c r="O503" s="488" t="n">
        <v>64</v>
      </c>
      <c r="P503" s="488" t="n">
        <v>3</v>
      </c>
    </row>
    <row r="504" ht="15.75" customHeight="1" s="279">
      <c r="A504" s="420" t="inlineStr">
        <is>
          <t>Sending email</t>
        </is>
      </c>
      <c r="B504" s="475">
        <f>HYPERLINK("https://uva.onlinejudge.org/index.php?option=com_onlinejudge&amp;Itemid=8&amp;page=show_problem&amp;problem=1927","UVA 10986")</f>
        <v/>
      </c>
      <c r="C504" s="418" t="n"/>
      <c r="D504" s="418" t="n"/>
      <c r="E504" s="418" t="n"/>
      <c r="F504" s="418" t="n"/>
      <c r="G504" s="418" t="n"/>
      <c r="H504" s="418" t="n"/>
      <c r="I504" s="404">
        <f>SUM(E504:H504)</f>
        <v/>
      </c>
      <c r="J504" s="404" t="n"/>
      <c r="K504" s="404" t="n"/>
      <c r="L504" s="418" t="n"/>
      <c r="M504" s="420" t="n"/>
      <c r="N504" s="488" t="inlineStr">
        <is>
          <t>graph, dijkstra</t>
        </is>
      </c>
      <c r="O504" s="488" t="n">
        <v>64</v>
      </c>
      <c r="P504" s="488" t="n">
        <v>3</v>
      </c>
    </row>
    <row r="505" ht="15.75" customHeight="1" s="279">
      <c r="A505" s="420" t="inlineStr">
        <is>
          <t>MELE3</t>
        </is>
      </c>
      <c r="B505" s="475">
        <f>HYPERLINK("http://www.spoj.com/problems/MELE3/","SPOJ MELE3")</f>
        <v/>
      </c>
      <c r="C505" s="418" t="n"/>
      <c r="D505" s="418" t="n"/>
      <c r="E505" s="418" t="n"/>
      <c r="F505" s="418" t="n"/>
      <c r="G505" s="418" t="n"/>
      <c r="H505" s="418" t="n"/>
      <c r="I505" s="404">
        <f>SUM(E505:H505)</f>
        <v/>
      </c>
      <c r="J505" s="404" t="n"/>
      <c r="K505" s="404" t="n"/>
      <c r="L505" s="418" t="n"/>
      <c r="M505" s="493">
        <f>HYPERLINK("https://github.com/VAMPIER000001/CompetitiveProgramming/blob/a5d714fa4de45e50f87306d421ec6c3c02026f76/Spoj/SPOJ%20MELE3.Cpp","Sol")</f>
        <v/>
      </c>
      <c r="N505" s="488" t="inlineStr">
        <is>
          <t>graph, dijkstra</t>
        </is>
      </c>
      <c r="O505" s="488" t="n">
        <v>64</v>
      </c>
      <c r="P505" s="488" t="n">
        <v>4.5</v>
      </c>
      <c r="Q505" s="304" t="n"/>
    </row>
    <row r="506" ht="15.75" customHeight="1" s="279">
      <c r="A506" s="420" t="inlineStr">
        <is>
          <t>Roads</t>
        </is>
      </c>
      <c r="B506" s="475">
        <f>HYPERLINK("http://www.spoj.com/problems/ROADS/en/","SPOJ ROADS")</f>
        <v/>
      </c>
      <c r="C506" s="418" t="n"/>
      <c r="D506" s="418" t="n"/>
      <c r="E506" s="418" t="n"/>
      <c r="F506" s="418" t="n"/>
      <c r="G506" s="418" t="n"/>
      <c r="H506" s="418" t="n"/>
      <c r="I506" s="404">
        <f>SUM(E506:H506)</f>
        <v/>
      </c>
      <c r="J506" s="404" t="n"/>
      <c r="K506" s="404" t="n"/>
      <c r="L506" s="418" t="n"/>
      <c r="M506" s="493">
        <f>HYPERLINK("https://github.com/mostafa-saad/MyCompetitiveProgramming/blob/master/SPOJ/SPOJ_ROADS.txt","Sol")</f>
        <v/>
      </c>
      <c r="N506" s="488" t="inlineStr">
        <is>
          <t>graph, dijkstra or dp</t>
        </is>
      </c>
      <c r="O506" s="488" t="n">
        <v>64</v>
      </c>
      <c r="P506" s="488" t="n">
        <v>4.5</v>
      </c>
      <c r="Q506" s="297" t="inlineStr">
        <is>
          <t>p3</t>
        </is>
      </c>
    </row>
    <row r="507" ht="15.75" customHeight="1" s="279">
      <c r="A507" s="420" t="inlineStr">
        <is>
          <t>Lift Hopping</t>
        </is>
      </c>
      <c r="B507" s="475">
        <f>HYPERLINK("https://uva.onlinejudge.org/index.php?option=onlinejudge&amp;page=show_problem&amp;problem=1742","UVA 10801")</f>
        <v/>
      </c>
      <c r="C507" s="418" t="n"/>
      <c r="D507" s="418" t="n"/>
      <c r="E507" s="418" t="n"/>
      <c r="F507" s="418" t="n"/>
      <c r="G507" s="418" t="n"/>
      <c r="H507" s="418" t="n"/>
      <c r="I507" s="404">
        <f>SUM(E507:H507)</f>
        <v/>
      </c>
      <c r="J507" s="404" t="n"/>
      <c r="K507" s="404" t="n"/>
      <c r="L507" s="418" t="n"/>
      <c r="M507" s="420" t="n"/>
      <c r="N507" s="488" t="inlineStr">
        <is>
          <t>graph, dijkstra</t>
        </is>
      </c>
      <c r="O507" s="488" t="n">
        <v>64</v>
      </c>
      <c r="P507" s="488" t="n">
        <v>4.5</v>
      </c>
    </row>
    <row r="508" ht="15.75" customHeight="1" s="279">
      <c r="A508" s="420" t="n"/>
      <c r="B508" s="420" t="inlineStr">
        <is>
          <t>UVA 10740</t>
        </is>
      </c>
      <c r="C508" s="418" t="n"/>
      <c r="D508" s="418" t="n"/>
      <c r="E508" s="418" t="n"/>
      <c r="F508" s="418" t="n"/>
      <c r="G508" s="418" t="n"/>
      <c r="H508" s="418" t="n"/>
      <c r="I508" s="404">
        <f>SUM(E508:H508)</f>
        <v/>
      </c>
      <c r="J508" s="418" t="n"/>
      <c r="K508" s="418" t="n"/>
      <c r="L508" s="512" t="n"/>
      <c r="M508" s="493">
        <f>HYPERLINK("https://github.com/mostafa-saad/MyCompetitiveProgramming/blob/master/UVA/UVA_10740.txt","Sol")</f>
        <v/>
      </c>
      <c r="N508" s="488" t="inlineStr">
        <is>
          <t>graph, dijkstra, kth sp. [k &lt;= 10]</t>
        </is>
      </c>
      <c r="O508" s="488" t="n">
        <v>64</v>
      </c>
      <c r="P508" s="488" t="n">
        <v>5</v>
      </c>
      <c r="Q508" s="297" t="inlineStr">
        <is>
          <t>p3</t>
        </is>
      </c>
    </row>
    <row r="509" ht="15.75" customHeight="1" s="279">
      <c r="A509" s="420" t="inlineStr">
        <is>
          <t>Volleyball</t>
        </is>
      </c>
      <c r="B509" s="475">
        <f>HYPERLINK("http://codeforces.com/contest/96/problem/D","CF96-D2-D")</f>
        <v/>
      </c>
      <c r="C509" s="418" t="n"/>
      <c r="D509" s="418" t="n"/>
      <c r="E509" s="418" t="n"/>
      <c r="F509" s="418" t="n"/>
      <c r="G509" s="418" t="n"/>
      <c r="H509" s="418" t="n"/>
      <c r="I509" s="404">
        <f>SUM(E509:H509)</f>
        <v/>
      </c>
      <c r="J509" s="418" t="n"/>
      <c r="K509" s="418" t="n"/>
      <c r="L509" s="418" t="n"/>
      <c r="M509" s="420" t="n"/>
      <c r="N509" s="488" t="inlineStr">
        <is>
          <t>graph, dijkstra, 2 dijkstra</t>
        </is>
      </c>
      <c r="O509" s="488" t="n">
        <v>64</v>
      </c>
      <c r="P509" s="488" t="n">
        <v>5</v>
      </c>
      <c r="Q509" s="297" t="inlineStr">
        <is>
          <t>p3</t>
        </is>
      </c>
    </row>
    <row r="510" ht="15.75" customHeight="1" s="279">
      <c r="A510" s="420" t="n"/>
      <c r="B510" s="420" t="inlineStr">
        <is>
          <t>UVA 12047</t>
        </is>
      </c>
      <c r="C510" s="418" t="n"/>
      <c r="D510" s="418" t="n"/>
      <c r="E510" s="418" t="n"/>
      <c r="F510" s="418" t="n"/>
      <c r="G510" s="418" t="n"/>
      <c r="H510" s="418" t="n"/>
      <c r="I510" s="404">
        <f>SUM(E510:H510)</f>
        <v/>
      </c>
      <c r="J510" s="418" t="n"/>
      <c r="K510" s="418" t="n"/>
      <c r="L510" s="418" t="n"/>
      <c r="M510" s="493">
        <f>HYPERLINK("https://github.com/ilyesG/Competitive-Programming/blob/master/UVA/UVA%2012047.cpp","Sol")</f>
        <v/>
      </c>
      <c r="N510" s="488" t="inlineStr">
        <is>
          <t>graph, dijkstra</t>
        </is>
      </c>
      <c r="O510" s="488" t="n">
        <v>64</v>
      </c>
      <c r="P510" s="488" t="n">
        <v>5.5</v>
      </c>
      <c r="Q510" s="297" t="inlineStr">
        <is>
          <t>p3</t>
        </is>
      </c>
    </row>
    <row r="511" ht="30.75" customHeight="1" s="279">
      <c r="A511" s="420" t="n"/>
      <c r="B511" s="420" t="inlineStr">
        <is>
          <t>UVA 10342</t>
        </is>
      </c>
      <c r="C511" s="418" t="n"/>
      <c r="D511" s="418" t="n"/>
      <c r="E511" s="418" t="n"/>
      <c r="F511" s="418" t="n"/>
      <c r="G511" s="418" t="n"/>
      <c r="H511" s="418" t="n"/>
      <c r="I511" s="404">
        <f>SUM(E511:H511)</f>
        <v/>
      </c>
      <c r="J511" s="418" t="n"/>
      <c r="K511" s="418" t="n"/>
      <c r="L511" s="418" t="n"/>
      <c r="M511" s="493">
        <f>HYPERLINK("https://ideone.com/x8zpRc","Sol - read the statement clarification")</f>
        <v/>
      </c>
      <c r="N511" s="488" t="inlineStr">
        <is>
          <t>graph, dijkstra, kth sp (k=2) or floyd</t>
        </is>
      </c>
      <c r="O511" s="488" t="n">
        <v>64</v>
      </c>
      <c r="P511" s="488" t="n">
        <v>5.5</v>
      </c>
      <c r="Q511" s="297" t="inlineStr">
        <is>
          <t>p3</t>
        </is>
      </c>
    </row>
    <row r="512" ht="15.75" customHeight="1" s="279">
      <c r="A512" s="420" t="inlineStr">
        <is>
          <t>Hotel booking</t>
        </is>
      </c>
      <c r="B512" s="420" t="inlineStr">
        <is>
          <t>UVA 11635</t>
        </is>
      </c>
      <c r="C512" s="418" t="n"/>
      <c r="D512" s="418" t="n"/>
      <c r="E512" s="418" t="n"/>
      <c r="F512" s="418" t="n"/>
      <c r="G512" s="418" t="n"/>
      <c r="H512" s="418" t="n"/>
      <c r="I512" s="404">
        <f>SUM(E512:H512)</f>
        <v/>
      </c>
      <c r="J512" s="418" t="n"/>
      <c r="K512" s="418" t="n"/>
      <c r="L512" s="512" t="n"/>
      <c r="M512" s="493">
        <f>HYPERLINK("https://github.com/BRAINOOO/CompetitiveProgramming/blob/master/UVA/V-116/UVA%2011635.Cpp","Sol")</f>
        <v/>
      </c>
      <c r="N512" s="488" t="inlineStr">
        <is>
          <t>graph, dijkstra</t>
        </is>
      </c>
      <c r="O512" s="488" t="n">
        <v>64</v>
      </c>
      <c r="P512" s="488" t="n">
        <v>5.5</v>
      </c>
    </row>
    <row r="513" ht="15.75" customHeight="1" s="279">
      <c r="A513" s="420" t="inlineStr">
        <is>
          <t>IP-TV</t>
        </is>
      </c>
      <c r="B513" s="420" t="inlineStr">
        <is>
          <t>UVA 1174</t>
        </is>
      </c>
      <c r="C513" s="418" t="n"/>
      <c r="D513" s="418" t="n"/>
      <c r="E513" s="418" t="n"/>
      <c r="F513" s="418" t="n"/>
      <c r="G513" s="418" t="n"/>
      <c r="H513" s="418" t="n"/>
      <c r="I513" s="404">
        <f>SUM(E513:H513)</f>
        <v/>
      </c>
      <c r="J513" s="404" t="n"/>
      <c r="K513" s="404" t="n"/>
      <c r="L513" s="418" t="n"/>
      <c r="M513" s="420" t="n"/>
      <c r="N513" s="488" t="inlineStr">
        <is>
          <t>graph, dsu</t>
        </is>
      </c>
      <c r="O513" s="488" t="n">
        <v>65</v>
      </c>
      <c r="P513" s="488" t="n">
        <v>2</v>
      </c>
    </row>
    <row r="514" ht="15.75" customHeight="1" s="279">
      <c r="A514" s="420" t="inlineStr">
        <is>
          <t>Count the Faces.</t>
        </is>
      </c>
      <c r="B514" s="475">
        <f>HYPERLINK("https://uva.onlinejudge.org/index.php?option=onlinejudge&amp;page=show_problem&amp;problem=1119","UVA 10178")</f>
        <v/>
      </c>
      <c r="C514" s="418" t="n"/>
      <c r="D514" s="418" t="n"/>
      <c r="E514" s="418" t="n"/>
      <c r="F514" s="418" t="n"/>
      <c r="G514" s="418" t="n"/>
      <c r="H514" s="418" t="n"/>
      <c r="I514" s="404">
        <f>SUM(E514:H514)</f>
        <v/>
      </c>
      <c r="J514" s="418" t="n"/>
      <c r="K514" s="418" t="n"/>
      <c r="L514" s="418" t="n"/>
      <c r="M514" s="475">
        <f>HYPERLINK("https://en.wikipedia.org/wiki/Planar_graph#Euler's_formula","Read first Euler Formula")</f>
        <v/>
      </c>
      <c r="N514" s="488" t="inlineStr">
        <is>
          <t>graph, dsu or dfs, cycles</t>
        </is>
      </c>
      <c r="O514" s="488" t="n">
        <v>65</v>
      </c>
      <c r="P514" s="488" t="n">
        <v>4</v>
      </c>
      <c r="Q514" s="297" t="inlineStr">
        <is>
          <t>p2</t>
        </is>
      </c>
    </row>
    <row r="515" ht="15.75" customHeight="1" s="279">
      <c r="A515" s="420" t="inlineStr">
        <is>
          <t>Learning Languages</t>
        </is>
      </c>
      <c r="B515" s="475">
        <f>HYPERLINK("http://codeforces.com/contest/278/problem/C","CF278-D2-C")</f>
        <v/>
      </c>
      <c r="C515" s="418" t="n"/>
      <c r="D515" s="418" t="n"/>
      <c r="E515" s="418" t="n"/>
      <c r="F515" s="418" t="n"/>
      <c r="G515" s="418" t="n"/>
      <c r="H515" s="418" t="n"/>
      <c r="I515" s="404">
        <f>SUM(E515:H515)</f>
        <v/>
      </c>
      <c r="J515" s="404" t="n"/>
      <c r="K515" s="404" t="n"/>
      <c r="L515" s="418" t="n"/>
      <c r="M515" s="488" t="n"/>
      <c r="N515" s="488" t="inlineStr">
        <is>
          <t>graph, dsu</t>
        </is>
      </c>
      <c r="O515" s="488" t="n">
        <v>65</v>
      </c>
      <c r="P515" s="488" t="n">
        <v>4</v>
      </c>
    </row>
    <row r="516" ht="15.75" customHeight="1" s="279">
      <c r="A516" s="420" t="inlineStr">
        <is>
          <t>Virtual Friends</t>
        </is>
      </c>
      <c r="B516" s="475">
        <f>HYPERLINK("https://uva.onlinejudge.org/index.php?option=onlinejudge&amp;page=show_problem&amp;problem=2498","UVA 11503")</f>
        <v/>
      </c>
      <c r="C516" s="418" t="n"/>
      <c r="D516" s="418" t="n"/>
      <c r="E516" s="418" t="n"/>
      <c r="F516" s="418" t="n"/>
      <c r="G516" s="418" t="n"/>
      <c r="H516" s="418" t="n"/>
      <c r="I516" s="404">
        <f>SUM(E516:H516)</f>
        <v/>
      </c>
      <c r="J516" s="404" t="n"/>
      <c r="K516" s="404" t="n"/>
      <c r="L516" s="418" t="n"/>
      <c r="M516" s="475">
        <f>HYPERLINK("https://www.youtube.com/watch?v=kO_XbOt1drc","Video Solution - Eng Moaz Rashad")</f>
        <v/>
      </c>
      <c r="N516" s="488" t="inlineStr">
        <is>
          <t>graph, dsu</t>
        </is>
      </c>
      <c r="O516" s="488" t="n">
        <v>65</v>
      </c>
      <c r="P516" s="488" t="n">
        <v>4</v>
      </c>
    </row>
    <row r="517" ht="15.75" customHeight="1" s="279">
      <c r="A517" s="420" t="inlineStr">
        <is>
          <t>Almost Union-Find</t>
        </is>
      </c>
      <c r="B517" s="420" t="inlineStr">
        <is>
          <t>UVA 11987</t>
        </is>
      </c>
      <c r="C517" s="418" t="n"/>
      <c r="D517" s="418" t="n"/>
      <c r="E517" s="418" t="n"/>
      <c r="F517" s="418" t="n"/>
      <c r="G517" s="418" t="n"/>
      <c r="H517" s="418" t="n"/>
      <c r="I517" s="404">
        <f>SUM(E517:H517)</f>
        <v/>
      </c>
      <c r="J517" s="418" t="n"/>
      <c r="K517" s="418" t="n"/>
      <c r="L517" s="512" t="n"/>
      <c r="M517" s="493">
        <f>HYPERLINK("https://github.com/VAMPIER000001/CompetitiveProgramming/blob/master/UVA/V-119/UVA%2011987.Cpp","Sol")</f>
        <v/>
      </c>
      <c r="N517" s="488" t="inlineStr">
        <is>
          <t>graph, dsu</t>
        </is>
      </c>
      <c r="O517" s="488" t="n">
        <v>65</v>
      </c>
      <c r="P517" s="488" t="n">
        <v>4.5</v>
      </c>
      <c r="Q517" s="297" t="inlineStr">
        <is>
          <t>p3</t>
        </is>
      </c>
    </row>
    <row r="518" ht="15.75" customHeight="1" s="279">
      <c r="A518" s="420" t="inlineStr">
        <is>
          <t>Cthulhu</t>
        </is>
      </c>
      <c r="B518" s="475">
        <f>HYPERLINK("http://codeforces.com/contest/104/problem/C","CF104-D2-C")</f>
        <v/>
      </c>
      <c r="C518" s="418" t="n"/>
      <c r="D518" s="418" t="n"/>
      <c r="E518" s="418" t="n"/>
      <c r="F518" s="418" t="n"/>
      <c r="G518" s="418" t="n"/>
      <c r="H518" s="418" t="n"/>
      <c r="I518" s="404">
        <f>SUM(E518:H518)</f>
        <v/>
      </c>
      <c r="J518" s="418" t="n"/>
      <c r="K518" s="418" t="n"/>
      <c r="L518" s="512" t="n"/>
      <c r="M518" s="488" t="n"/>
      <c r="N518" s="488" t="inlineStr">
        <is>
          <t>graph, dsu</t>
        </is>
      </c>
      <c r="O518" s="488" t="n">
        <v>65</v>
      </c>
      <c r="P518" s="488" t="n">
        <v>4.5</v>
      </c>
    </row>
    <row r="519" ht="15.75" customHeight="1" s="279">
      <c r="A519" s="420" t="inlineStr">
        <is>
          <t>The Child and Zoo</t>
        </is>
      </c>
      <c r="B519" s="475">
        <f>HYPERLINK("http://codeforces.com/contest/437/problem/D","CF437-D2-D")</f>
        <v/>
      </c>
      <c r="C519" s="418" t="n"/>
      <c r="D519" s="418" t="n"/>
      <c r="E519" s="418" t="n"/>
      <c r="F519" s="418" t="n"/>
      <c r="G519" s="418" t="n"/>
      <c r="H519" s="418" t="n"/>
      <c r="I519" s="404">
        <f>SUM(E519:H519)</f>
        <v/>
      </c>
      <c r="J519" s="404" t="n"/>
      <c r="K519" s="404" t="n"/>
      <c r="L519" s="512" t="n"/>
      <c r="M519" s="488" t="n"/>
      <c r="N519" s="488" t="inlineStr">
        <is>
          <t>graph, dsu</t>
        </is>
      </c>
      <c r="O519" s="488" t="n">
        <v>65</v>
      </c>
      <c r="P519" s="488" t="n">
        <v>5</v>
      </c>
      <c r="Q519" s="304" t="n"/>
    </row>
    <row r="520" ht="15.75" customHeight="1" s="279">
      <c r="A520" s="420" t="inlineStr">
        <is>
          <t>Mahmoud and a Dictionary</t>
        </is>
      </c>
      <c r="B520" s="475">
        <f>HYPERLINK("http://codeforces.com/contest/766/problem/D","CF766-D2-D")</f>
        <v/>
      </c>
      <c r="C520" s="418" t="n"/>
      <c r="D520" s="418" t="n"/>
      <c r="E520" s="418" t="n"/>
      <c r="F520" s="418" t="n"/>
      <c r="G520" s="418" t="n"/>
      <c r="H520" s="418" t="n"/>
      <c r="I520" s="404">
        <f>SUM(E520:H520)</f>
        <v/>
      </c>
      <c r="J520" s="404" t="n"/>
      <c r="K520" s="404" t="n"/>
      <c r="L520" s="418" t="n"/>
      <c r="M520" s="475">
        <f>HYPERLINK("https://www.youtube.com/watch?v=W0O3QNh0-DU","Video Solution - Solver to be (Java)")</f>
        <v/>
      </c>
      <c r="N520" s="488" t="inlineStr">
        <is>
          <t>graph, dsu, [offline processing]</t>
        </is>
      </c>
      <c r="O520" s="488" t="n">
        <v>65</v>
      </c>
      <c r="P520" s="488" t="n">
        <v>5</v>
      </c>
      <c r="Q520" s="297" t="inlineStr">
        <is>
          <t>p3</t>
        </is>
      </c>
    </row>
    <row r="521" ht="15.75" customHeight="1" s="279">
      <c r="A521" s="420" t="n"/>
      <c r="B521" s="475">
        <f>HYPERLINK("http://codeforces.com/contest/1012/problem/B","CF1012-D1-B")</f>
        <v/>
      </c>
      <c r="C521" s="418" t="n"/>
      <c r="D521" s="418" t="n"/>
      <c r="E521" s="418" t="n"/>
      <c r="F521" s="418" t="n"/>
      <c r="G521" s="418" t="n"/>
      <c r="H521" s="418" t="n"/>
      <c r="I521" s="404">
        <f>SUM(E521:H521)</f>
        <v/>
      </c>
      <c r="J521" s="418" t="n"/>
      <c r="K521" s="418" t="n"/>
      <c r="L521" s="418" t="n"/>
      <c r="M521" s="488" t="n"/>
      <c r="N521" s="488" t="inlineStr">
        <is>
          <t>graph, dsu</t>
        </is>
      </c>
      <c r="O521" s="488" t="n">
        <v>65</v>
      </c>
      <c r="P521" s="488" t="n">
        <v>5.25</v>
      </c>
      <c r="Q521" s="297" t="inlineStr">
        <is>
          <t>p2</t>
        </is>
      </c>
    </row>
    <row r="522" ht="15.75" customHeight="1" s="279">
      <c r="A522" s="420" t="n"/>
      <c r="B522" s="420" t="inlineStr">
        <is>
          <t>UVA 12128</t>
        </is>
      </c>
      <c r="C522" s="418" t="n"/>
      <c r="D522" s="418" t="n"/>
      <c r="E522" s="418" t="n"/>
      <c r="F522" s="418" t="n"/>
      <c r="G522" s="418" t="n"/>
      <c r="H522" s="418" t="n"/>
      <c r="I522" s="404">
        <f>SUM(E522:H522)</f>
        <v/>
      </c>
      <c r="J522" s="404" t="n"/>
      <c r="K522" s="404" t="n"/>
      <c r="L522" s="512" t="n"/>
      <c r="M522" s="488" t="n"/>
      <c r="N522" s="488" t="inlineStr">
        <is>
          <t>graph, dsu, dijkstra like or binary search, bfs</t>
        </is>
      </c>
      <c r="O522" s="488" t="n">
        <v>65</v>
      </c>
      <c r="P522" s="488" t="n">
        <v>5.5</v>
      </c>
      <c r="Q522" s="297" t="inlineStr">
        <is>
          <t>p2</t>
        </is>
      </c>
    </row>
    <row r="523" ht="15.75" customHeight="1" s="279">
      <c r="A523" s="420" t="inlineStr">
        <is>
          <t>Connected Components</t>
        </is>
      </c>
      <c r="B523" s="475">
        <f>HYPERLINK("http://codeforces.com/contest/292/problem/D","CF292-D12-D")</f>
        <v/>
      </c>
      <c r="C523" s="418" t="n"/>
      <c r="D523" s="418" t="n"/>
      <c r="E523" s="418" t="n"/>
      <c r="F523" s="418" t="n"/>
      <c r="G523" s="418" t="n"/>
      <c r="H523" s="418" t="n"/>
      <c r="I523" s="404">
        <f>SUM(E523:H523)</f>
        <v/>
      </c>
      <c r="J523" s="404" t="n"/>
      <c r="K523" s="404" t="n"/>
      <c r="L523" s="512" t="n"/>
      <c r="M523" s="488" t="n"/>
      <c r="N523" s="488" t="inlineStr">
        <is>
          <t>graph, dsu</t>
        </is>
      </c>
      <c r="O523" s="488" t="n">
        <v>65</v>
      </c>
      <c r="P523" s="488" t="n">
        <v>5.75</v>
      </c>
      <c r="Q523" s="297" t="inlineStr">
        <is>
          <t>p3</t>
        </is>
      </c>
    </row>
    <row r="524" ht="15.75" customHeight="1" s="279">
      <c r="A524" s="420" t="inlineStr">
        <is>
          <t>Trip Routing</t>
        </is>
      </c>
      <c r="B524" s="475">
        <f>HYPERLINK("https://uva.onlinejudge.org/index.php?option=onlinejudge&amp;page=show_problem&amp;problem=122","UVA 186")</f>
        <v/>
      </c>
      <c r="C524" s="418" t="n"/>
      <c r="D524" s="418" t="n"/>
      <c r="E524" s="418" t="n"/>
      <c r="F524" s="418" t="n"/>
      <c r="G524" s="418" t="n"/>
      <c r="H524" s="418" t="n"/>
      <c r="I524" s="404">
        <f>SUM(E524:H524)</f>
        <v/>
      </c>
      <c r="J524" s="404" t="n"/>
      <c r="K524" s="404" t="n"/>
      <c r="L524" s="418" t="n"/>
      <c r="M524" s="493">
        <f>HYPERLINK("https://github.com/VAMPIER000001/CompetitiveProgramming/blob/master/UVA/V-1/UVA%20186.Cpp","Sol")</f>
        <v/>
      </c>
      <c r="N524" s="488" t="inlineStr">
        <is>
          <t>graph, floyd, path print</t>
        </is>
      </c>
      <c r="O524" s="488" t="n">
        <v>68</v>
      </c>
      <c r="P524" s="488" t="n">
        <v>4</v>
      </c>
      <c r="Q524" s="297" t="inlineStr">
        <is>
          <t>p3</t>
        </is>
      </c>
    </row>
    <row r="525" ht="15.75" customHeight="1" s="279">
      <c r="A525" s="420" t="inlineStr">
        <is>
          <t>Numbering Paths</t>
        </is>
      </c>
      <c r="B525" s="475">
        <f>HYPERLINK("https://uva.onlinejudge.org/index.php?option=onlinejudge&amp;page=show_problem&amp;problem=61","UVA 125")</f>
        <v/>
      </c>
      <c r="C525" s="418" t="n"/>
      <c r="D525" s="418" t="n"/>
      <c r="E525" s="418" t="n"/>
      <c r="F525" s="418" t="n"/>
      <c r="G525" s="418" t="n"/>
      <c r="H525" s="418" t="n"/>
      <c r="I525" s="404">
        <f>SUM(E525:H525)</f>
        <v/>
      </c>
      <c r="J525" s="404" t="n"/>
      <c r="K525" s="404" t="n"/>
      <c r="L525" s="418" t="n"/>
      <c r="M525" s="493">
        <f>HYPERLINK("https://github.com/mostafa-saad/MyCompetitiveProgramming/blob/master/UVA/UVA_125.txt","Sol")</f>
        <v/>
      </c>
      <c r="N525" s="488" t="inlineStr">
        <is>
          <t>graph, floyd, paths counting</t>
        </is>
      </c>
      <c r="O525" s="488" t="n">
        <v>68</v>
      </c>
      <c r="P525" s="488" t="n">
        <v>4.5</v>
      </c>
      <c r="Q525" s="297" t="inlineStr">
        <is>
          <t>p5</t>
        </is>
      </c>
    </row>
    <row r="526" ht="15.75" customHeight="1" s="279">
      <c r="A526" s="420" t="inlineStr">
        <is>
          <t>Frogger</t>
        </is>
      </c>
      <c r="B526" s="475">
        <f>HYPERLINK("https://uva.onlinejudge.org/index.php?option=com_onlinejudge&amp;Itemid=8&amp;page=show_problem&amp;problem=475","UVA 534")</f>
        <v/>
      </c>
      <c r="C526" s="418" t="n"/>
      <c r="D526" s="418" t="n"/>
      <c r="E526" s="418" t="n"/>
      <c r="F526" s="418" t="n"/>
      <c r="G526" s="418" t="n"/>
      <c r="H526" s="418" t="n"/>
      <c r="I526" s="404">
        <f>SUM(E526:H526)</f>
        <v/>
      </c>
      <c r="J526" s="404" t="n"/>
      <c r="K526" s="404" t="n"/>
      <c r="L526" s="418" t="n"/>
      <c r="M526" s="493">
        <f>HYPERLINK("https://github.com/ilyesG/Competitive-Programming/blob/master/UVA/UVA%20534.cpp","Sol")</f>
        <v/>
      </c>
      <c r="N526" s="488" t="inlineStr">
        <is>
          <t>graph, floyd, minimax or dsu</t>
        </is>
      </c>
      <c r="O526" s="488" t="n">
        <v>68</v>
      </c>
      <c r="P526" s="488" t="n">
        <v>4.5</v>
      </c>
      <c r="Q526" s="297" t="inlineStr">
        <is>
          <t>p4</t>
        </is>
      </c>
    </row>
    <row r="527" ht="15.75" customHeight="1" s="279">
      <c r="A527" s="420" t="inlineStr">
        <is>
          <t>Travel in Desert</t>
        </is>
      </c>
      <c r="B527" s="475">
        <f>HYPERLINK("https://uva.onlinejudge.org/index.php?option=onlinejudge&amp;page=show_problem&amp;problem=1757","UVA 10816")</f>
        <v/>
      </c>
      <c r="C527" s="418" t="n"/>
      <c r="D527" s="418" t="n"/>
      <c r="E527" s="418" t="n"/>
      <c r="F527" s="418" t="n"/>
      <c r="G527" s="418" t="n"/>
      <c r="H527" s="418" t="n"/>
      <c r="I527" s="404">
        <f>SUM(E527:H527)</f>
        <v/>
      </c>
      <c r="J527" s="404" t="n"/>
      <c r="K527" s="404" t="n"/>
      <c r="L527" s="512" t="n"/>
      <c r="M527" s="493">
        <f>HYPERLINK("https://github.com/VAMPIER000001/CompetitiveProgramming/blob/master/UVA/V-108/UVA%2010816.Cpp","Sol")</f>
        <v/>
      </c>
      <c r="N527" s="488" t="inlineStr">
        <is>
          <t>graph, floyd, binary search</t>
        </is>
      </c>
      <c r="O527" s="488" t="n">
        <v>68</v>
      </c>
      <c r="P527" s="488" t="n">
        <v>4.5</v>
      </c>
    </row>
    <row r="528" ht="15.75" customHeight="1" s="279">
      <c r="A528" s="420" t="inlineStr">
        <is>
          <t xml:space="preserve">Identifying Concurrent </t>
        </is>
      </c>
      <c r="B528" s="475">
        <f>HYPERLINK("https://uva.onlinejudge.org/index.php?option=com_onlinejudge&amp;Itemid=8&amp;page=show_problem&amp;problem=270","UVA 334")</f>
        <v/>
      </c>
      <c r="C528" s="418" t="n"/>
      <c r="D528" s="418" t="n"/>
      <c r="E528" s="418" t="n"/>
      <c r="F528" s="418" t="n"/>
      <c r="G528" s="418" t="n"/>
      <c r="H528" s="418" t="n"/>
      <c r="I528" s="404">
        <f>SUM(E528:H528)</f>
        <v/>
      </c>
      <c r="J528" s="404" t="n"/>
      <c r="K528" s="404" t="n"/>
      <c r="L528" s="418" t="n"/>
      <c r="M528" s="488" t="n"/>
      <c r="N528" s="488" t="inlineStr">
        <is>
          <t>graph, floyd</t>
        </is>
      </c>
      <c r="O528" s="488" t="n">
        <v>68</v>
      </c>
      <c r="P528" s="488" t="n">
        <v>4.5</v>
      </c>
    </row>
    <row r="529" ht="15.75" customHeight="1" s="279">
      <c r="A529" s="420" t="inlineStr">
        <is>
          <t>Greg and Graph</t>
        </is>
      </c>
      <c r="B529" s="475">
        <f>HYPERLINK("http://codeforces.com/contest/296/problem/D","CF296-D2-D")</f>
        <v/>
      </c>
      <c r="C529" s="418" t="n"/>
      <c r="D529" s="418" t="n"/>
      <c r="E529" s="418" t="n"/>
      <c r="F529" s="418" t="n"/>
      <c r="G529" s="418" t="n"/>
      <c r="H529" s="418" t="n"/>
      <c r="I529" s="404">
        <f>SUM(E529:H529)</f>
        <v/>
      </c>
      <c r="J529" s="404" t="n"/>
      <c r="K529" s="404" t="n"/>
      <c r="L529" s="418" t="n"/>
      <c r="M529" s="420" t="n"/>
      <c r="N529" s="488" t="inlineStr">
        <is>
          <t>graph, floyd</t>
        </is>
      </c>
      <c r="O529" s="488" t="n">
        <v>68</v>
      </c>
      <c r="P529" s="488" t="n">
        <v>5</v>
      </c>
      <c r="Q529" s="297" t="inlineStr">
        <is>
          <t>p2</t>
        </is>
      </c>
    </row>
    <row r="530" ht="15.75" customHeight="1" s="279">
      <c r="A530" s="420" t="inlineStr">
        <is>
          <t>Dima and Bacteria</t>
        </is>
      </c>
      <c r="B530" s="475">
        <f>HYPERLINK("http://codeforces.com/contest/400/problem/D","CF400-D2-D")</f>
        <v/>
      </c>
      <c r="C530" s="418" t="n"/>
      <c r="D530" s="418" t="n"/>
      <c r="E530" s="418" t="n"/>
      <c r="F530" s="418" t="n"/>
      <c r="G530" s="418" t="n"/>
      <c r="H530" s="418" t="n"/>
      <c r="I530" s="404">
        <f>SUM(E530:H530)</f>
        <v/>
      </c>
      <c r="J530" s="418" t="n"/>
      <c r="K530" s="418" t="n"/>
      <c r="L530" s="418" t="n"/>
      <c r="M530" s="420" t="n"/>
      <c r="N530" s="488" t="inlineStr">
        <is>
          <t>graph, floyd, dfs</t>
        </is>
      </c>
      <c r="O530" s="488" t="n">
        <v>68</v>
      </c>
      <c r="P530" s="488" t="n">
        <v>5</v>
      </c>
      <c r="Q530" s="297" t="inlineStr">
        <is>
          <t>p2</t>
        </is>
      </c>
    </row>
    <row r="531" ht="15.75" customHeight="1" s="279">
      <c r="A531" s="420" t="inlineStr">
        <is>
          <t>AlgoRace</t>
        </is>
      </c>
      <c r="B531" s="475">
        <f>HYPERLINK("http://codeforces.com/contest/189/problem/D","CF189-D2-D")</f>
        <v/>
      </c>
      <c r="C531" s="418" t="n"/>
      <c r="D531" s="418" t="n"/>
      <c r="E531" s="418" t="n"/>
      <c r="F531" s="418" t="n"/>
      <c r="G531" s="418" t="n"/>
      <c r="H531" s="418" t="n"/>
      <c r="I531" s="404">
        <f>SUM(E531:H531)</f>
        <v/>
      </c>
      <c r="J531" s="418" t="n"/>
      <c r="K531" s="418" t="n"/>
      <c r="L531" s="512" t="n"/>
      <c r="M531" s="493">
        <f>HYPERLINK("https://github.com/OmarMekkawy/Problems-Solved-Codes/blob/master/CodeForces/189D.cpp","Sol")</f>
        <v/>
      </c>
      <c r="N531" s="488" t="inlineStr">
        <is>
          <t>graph, floyd</t>
        </is>
      </c>
      <c r="O531" s="488" t="n">
        <v>68</v>
      </c>
      <c r="P531" s="488" t="n">
        <v>5.25</v>
      </c>
      <c r="Q531" s="297" t="inlineStr">
        <is>
          <t>p4</t>
        </is>
      </c>
    </row>
    <row r="532" ht="15.75" customHeight="1" s="279">
      <c r="A532" s="420" t="inlineStr">
        <is>
          <t>Antifloyd</t>
        </is>
      </c>
      <c r="B532" s="475">
        <f>HYPERLINK("https://uva.onlinejudge.org/index.php?option=onlinejudge&amp;page=show_problem&amp;problem=1928","UVA 10987")</f>
        <v/>
      </c>
      <c r="C532" s="418" t="n"/>
      <c r="D532" s="418" t="n"/>
      <c r="E532" s="418" t="n"/>
      <c r="F532" s="418" t="n"/>
      <c r="G532" s="418" t="n"/>
      <c r="H532" s="418" t="n"/>
      <c r="I532" s="404">
        <f>SUM(E532:H532)</f>
        <v/>
      </c>
      <c r="J532" s="418" t="n"/>
      <c r="K532" s="418" t="n"/>
      <c r="L532" s="512" t="n"/>
      <c r="M532" s="493">
        <f>HYPERLINK("https://github.com/abdullaAshraf/Problem-Solving/blob/master/UVA/10987.cpp","Sol")</f>
        <v/>
      </c>
      <c r="N532" s="488" t="inlineStr">
        <is>
          <t>graph, floyd, antifloyd</t>
        </is>
      </c>
      <c r="O532" s="488" t="n">
        <v>68</v>
      </c>
      <c r="P532" s="488" t="n">
        <v>5.5</v>
      </c>
      <c r="Q532" s="297" t="inlineStr">
        <is>
          <t>p4</t>
        </is>
      </c>
    </row>
    <row r="533" ht="15.75" customHeight="1" s="279">
      <c r="A533" s="420" t="inlineStr">
        <is>
          <t>Unique World</t>
        </is>
      </c>
      <c r="B533" s="475">
        <f>HYPERLINK("https://www.youtube.com/watch?v=OWlJ8chpit0","UVA 10448")</f>
        <v/>
      </c>
      <c r="C533" s="418" t="n"/>
      <c r="D533" s="418" t="n"/>
      <c r="E533" s="418" t="n"/>
      <c r="F533" s="418" t="n"/>
      <c r="G533" s="418" t="n"/>
      <c r="H533" s="418" t="n"/>
      <c r="I533" s="404">
        <f>SUM(E533:H533)</f>
        <v/>
      </c>
      <c r="J533" s="404" t="n"/>
      <c r="K533" s="404" t="n"/>
      <c r="L533" s="418" t="n"/>
      <c r="M533" s="475">
        <f>HYPERLINK("https://www.youtube.com/watch?v=OWlJ8chpit0","Video Solution - Dr Mostafa Saad")</f>
        <v/>
      </c>
      <c r="N533" s="488" t="inlineStr">
        <is>
          <t>graph, floyd, dp</t>
        </is>
      </c>
      <c r="O533" s="488" t="n">
        <v>68</v>
      </c>
      <c r="P533" s="488" t="n">
        <v>5.5</v>
      </c>
      <c r="Q533" s="297" t="inlineStr">
        <is>
          <t>p2</t>
        </is>
      </c>
    </row>
    <row r="534" ht="15.75" customHeight="1" s="279">
      <c r="A534" s="420" t="inlineStr">
        <is>
          <t>Arbitrage</t>
        </is>
      </c>
      <c r="B534" s="475">
        <f>HYPERLINK("https://uva.onlinejudge.org/index.php?option=com_onlinejudge&amp;Itemid=8&amp;page=show_problem&amp;problem=40","UVA 104")</f>
        <v/>
      </c>
      <c r="C534" s="418" t="n"/>
      <c r="D534" s="418" t="n"/>
      <c r="E534" s="418" t="n"/>
      <c r="F534" s="418" t="n"/>
      <c r="G534" s="418" t="n"/>
      <c r="H534" s="418" t="n"/>
      <c r="I534" s="404">
        <f>SUM(E534:H534)</f>
        <v/>
      </c>
      <c r="J534" s="418" t="n"/>
      <c r="K534" s="418" t="n"/>
      <c r="L534" s="512" t="n"/>
      <c r="M534" s="493">
        <f>HYPERLINK("https://github.com/abdullaAshraf/Problem-Solving/blob/master/UVA/104.cpp","Sol")</f>
        <v/>
      </c>
      <c r="N534" s="488" t="inlineStr">
        <is>
          <t>graph, floyd</t>
        </is>
      </c>
      <c r="O534" s="488" t="n">
        <v>68</v>
      </c>
      <c r="P534" s="488" t="n">
        <v>6.25</v>
      </c>
      <c r="Q534" s="297" t="inlineStr">
        <is>
          <t>p2</t>
        </is>
      </c>
    </row>
    <row r="535" ht="15.75" customHeight="1" s="279">
      <c r="A535" s="420" t="inlineStr">
        <is>
          <t>Potholers</t>
        </is>
      </c>
      <c r="B535" s="475">
        <f>HYPERLINK("http://www.spoj.com/problems/POTHOLE/","SPOJ POTHOLE")</f>
        <v/>
      </c>
      <c r="C535" s="418" t="n"/>
      <c r="D535" s="418" t="n"/>
      <c r="E535" s="418" t="n"/>
      <c r="F535" s="418" t="n"/>
      <c r="G535" s="418" t="n"/>
      <c r="H535" s="418" t="n"/>
      <c r="I535" s="404">
        <f>SUM(E535:H535)</f>
        <v/>
      </c>
      <c r="J535" s="404" t="n"/>
      <c r="K535" s="404" t="n"/>
      <c r="L535" s="418" t="n"/>
      <c r="M535" s="493">
        <f>HYPERLINK("https://github.com/BRAINOOOO/CompetitiveProgramming/blob/682cdb2f527d2ab262a9f616687b53a158b281a4/Spoj/SPOJ%20POTHOLE.Cpp","Sol")</f>
        <v/>
      </c>
      <c r="N535" s="488" t="inlineStr">
        <is>
          <t>graph, max-flow</t>
        </is>
      </c>
      <c r="O535" s="488" t="n">
        <v>71</v>
      </c>
      <c r="P535" s="488" t="n">
        <v>3</v>
      </c>
    </row>
    <row r="536" ht="15.75" customHeight="1" s="279">
      <c r="A536" s="420" t="inlineStr">
        <is>
          <t>Power Transmission</t>
        </is>
      </c>
      <c r="B536" s="475">
        <f>HYPERLINK("https://uva.onlinejudge.org/index.php?option=onlinejudge&amp;page=show_problem&amp;problem=1271","UVA 10330")</f>
        <v/>
      </c>
      <c r="C536" s="418" t="n"/>
      <c r="D536" s="418" t="n"/>
      <c r="E536" s="418" t="n"/>
      <c r="F536" s="418" t="n"/>
      <c r="G536" s="418" t="n"/>
      <c r="H536" s="418" t="n"/>
      <c r="I536" s="404">
        <f>SUM(E536:H536)</f>
        <v/>
      </c>
      <c r="J536" s="404" t="n"/>
      <c r="K536" s="404" t="n"/>
      <c r="L536" s="418" t="n"/>
      <c r="M536" s="493">
        <f>HYPERLINK("https://github.com/ilyesG/Competitive-Programming/blob/master/UVA/UVA%2010330.cpp","Sol")</f>
        <v/>
      </c>
      <c r="N536" s="488" t="inlineStr">
        <is>
          <t>graph, max-flow, vertex constraints</t>
        </is>
      </c>
      <c r="O536" s="488" t="n">
        <v>71</v>
      </c>
      <c r="P536" s="488" t="n">
        <v>4</v>
      </c>
    </row>
    <row r="537" ht="15.75" customHeight="1" s="279">
      <c r="A537" s="420" t="inlineStr">
        <is>
          <t>The Problem with the Problem Setter</t>
        </is>
      </c>
      <c r="B537" s="475">
        <f>HYPERLINK("https://uva.onlinejudge.org/index.php?option=com_onlinejudge&amp;Itemid=8&amp;page=show_problem&amp;problem=1033","UVA 10092")</f>
        <v/>
      </c>
      <c r="C537" s="418" t="n"/>
      <c r="D537" s="418" t="n"/>
      <c r="E537" s="418" t="n"/>
      <c r="F537" s="418" t="n"/>
      <c r="G537" s="418" t="n"/>
      <c r="H537" s="418" t="n"/>
      <c r="I537" s="404">
        <f>SUM(E537:H537)</f>
        <v/>
      </c>
      <c r="J537" s="404" t="n"/>
      <c r="K537" s="404" t="n"/>
      <c r="L537" s="512" t="n"/>
      <c r="M537" s="488" t="n"/>
      <c r="N537" s="488" t="inlineStr">
        <is>
          <t>graph, max-flow, [direct bipartite is slow]</t>
        </is>
      </c>
      <c r="O537" s="488" t="n">
        <v>71</v>
      </c>
      <c r="P537" s="488" t="n">
        <v>4.5</v>
      </c>
      <c r="Q537" s="297" t="inlineStr">
        <is>
          <t>p3</t>
        </is>
      </c>
    </row>
    <row r="538" ht="15.75" customHeight="1" s="279">
      <c r="A538" s="420" t="inlineStr">
        <is>
          <t>Crimewave</t>
        </is>
      </c>
      <c r="B538" s="475">
        <f>HYPERLINK("https://uva.onlinejudge.org/index.php?option=com_onlinejudge&amp;Itemid=8&amp;page=show_problem&amp;problem=504","UVA 563")</f>
        <v/>
      </c>
      <c r="C538" s="418" t="n"/>
      <c r="D538" s="418" t="n"/>
      <c r="E538" s="418" t="n"/>
      <c r="F538" s="418" t="n"/>
      <c r="G538" s="418" t="n"/>
      <c r="H538" s="418" t="n"/>
      <c r="I538" s="404">
        <f>SUM(E538:H538)</f>
        <v/>
      </c>
      <c r="J538" s="404" t="n"/>
      <c r="K538" s="404" t="n"/>
      <c r="L538" s="512" t="n"/>
      <c r="M538" s="493">
        <f>HYPERLINK("https://github.com/BRAINOOOO/CompetitiveProgramming/blob/d60a5d1364a8f6aba3cd785c1e5d7825bf3818bc/UVA/UVA%20563.Cpp","Sol")</f>
        <v/>
      </c>
      <c r="N538" s="488" t="inlineStr">
        <is>
          <t>graph, max-flow, vertex constraints, sparse graph, escape problem</t>
        </is>
      </c>
      <c r="O538" s="488" t="n">
        <v>71</v>
      </c>
      <c r="P538" s="488" t="n">
        <v>5.5</v>
      </c>
      <c r="Q538" s="297" t="inlineStr">
        <is>
          <t>p4</t>
        </is>
      </c>
    </row>
    <row r="539" ht="15.75" customHeight="1" s="279">
      <c r="A539" s="420" t="inlineStr">
        <is>
          <t>Intergalactic Map</t>
        </is>
      </c>
      <c r="B539" s="475">
        <f>HYPERLINK("http://www.spoj.com/problems/IM","SPOJ IM")</f>
        <v/>
      </c>
      <c r="C539" s="418" t="n"/>
      <c r="D539" s="418" t="n"/>
      <c r="E539" s="418" t="n"/>
      <c r="F539" s="418" t="n"/>
      <c r="G539" s="418" t="n"/>
      <c r="H539" s="418" t="n"/>
      <c r="I539" s="404">
        <f>SUM(E539:H539)</f>
        <v/>
      </c>
      <c r="J539" s="404" t="n"/>
      <c r="K539" s="404" t="n"/>
      <c r="L539" s="418" t="n"/>
      <c r="M539" s="493">
        <f>HYPERLINK("https://github.com/mostafa-saad/MyCompetitiveProgramming/blob/master/SPOJ/SPOJ_IM.txt","Sol")</f>
        <v/>
      </c>
      <c r="N539" s="488" t="inlineStr">
        <is>
          <t>graph, max-flow, [vertex disjoint path/ super sink / vertex split]</t>
        </is>
      </c>
      <c r="O539" s="488" t="n">
        <v>71</v>
      </c>
      <c r="P539" s="488" t="n">
        <v>5.5</v>
      </c>
      <c r="Q539" s="297" t="inlineStr">
        <is>
          <t>p2</t>
        </is>
      </c>
    </row>
    <row r="540" ht="15.75" customHeight="1" s="279">
      <c r="A540" s="420" t="inlineStr">
        <is>
          <t>A Plug for UNIX</t>
        </is>
      </c>
      <c r="B540" s="475">
        <f>HYPERLINK("https://uva.onlinejudge.org/index.php?option=onlinejudge&amp;page=show_problem&amp;problem=694","UVA 753")</f>
        <v/>
      </c>
      <c r="C540" s="418" t="n"/>
      <c r="D540" s="418" t="n"/>
      <c r="E540" s="418" t="n"/>
      <c r="F540" s="418" t="n"/>
      <c r="G540" s="418" t="n"/>
      <c r="H540" s="418" t="n"/>
      <c r="I540" s="404">
        <f>SUM(E540:H540)</f>
        <v/>
      </c>
      <c r="J540" s="404" t="n"/>
      <c r="K540" s="404" t="n"/>
      <c r="L540" s="418" t="n"/>
      <c r="M540" s="493">
        <f>HYPERLINK("https://github.com/BRAINOOOO/CompetitiveProgramming/blob/master/UVA/V-7/UVA%20753.Cpp","Sol")</f>
        <v/>
      </c>
      <c r="N540" s="488" t="inlineStr">
        <is>
          <t>graph, max-flow, impl</t>
        </is>
      </c>
      <c r="O540" s="488" t="n">
        <v>71</v>
      </c>
      <c r="P540" s="488" t="n">
        <v>5.5</v>
      </c>
      <c r="Q540" s="297" t="inlineStr">
        <is>
          <t>p2</t>
        </is>
      </c>
    </row>
    <row r="541" ht="15.75" customHeight="1" s="279">
      <c r="A541" s="420" t="inlineStr">
        <is>
          <t>March of the Penguins</t>
        </is>
      </c>
      <c r="B541" s="475">
        <f>HYPERLINK("https://uva.onlinejudge.org/index.php?option=com_onlinejudge&amp;Itemid=8&amp;page=show_problem&amp;problem=3277","UVA 12125")</f>
        <v/>
      </c>
      <c r="C541" s="418" t="n"/>
      <c r="D541" s="418" t="n"/>
      <c r="E541" s="418" t="n"/>
      <c r="F541" s="418" t="n"/>
      <c r="G541" s="418" t="n"/>
      <c r="H541" s="418" t="n"/>
      <c r="I541" s="404">
        <f>SUM(E541:H541)</f>
        <v/>
      </c>
      <c r="J541" s="404" t="n"/>
      <c r="K541" s="404" t="n"/>
      <c r="L541" s="512" t="n"/>
      <c r="M541" s="493">
        <f>HYPERLINK("https://github.com/mostafa-saad/MyCompetitiveProgramming/blob/master/UVA/UVA_12125.txt","Sol")</f>
        <v/>
      </c>
      <c r="N541" s="488" t="inlineStr">
        <is>
          <t>graph, max-flow, vertex constraints</t>
        </is>
      </c>
      <c r="O541" s="488" t="n">
        <v>71</v>
      </c>
      <c r="P541" s="488" t="n">
        <v>6</v>
      </c>
    </row>
    <row r="542" ht="15.75" customHeight="1" s="279">
      <c r="A542" s="420" t="inlineStr">
        <is>
          <t>Gopher II</t>
        </is>
      </c>
      <c r="B542" s="475">
        <f>HYPERLINK("https://uva.onlinejudge.org/index.php?option=com_onlinejudge&amp;Itemid=8&amp;page=show_problem&amp;problem=1021","UVA 10080")</f>
        <v/>
      </c>
      <c r="C542" s="418" t="n"/>
      <c r="D542" s="418" t="n"/>
      <c r="E542" s="418" t="n"/>
      <c r="F542" s="418" t="n"/>
      <c r="G542" s="418" t="n"/>
      <c r="H542" s="418" t="n"/>
      <c r="I542" s="404">
        <f>SUM(E542:H542)</f>
        <v/>
      </c>
      <c r="J542" s="404" t="n"/>
      <c r="K542" s="404" t="n"/>
      <c r="L542" s="418" t="n"/>
      <c r="M542" s="493">
        <f>HYPERLINK("https://github.com/ilyesG/Competitive-Programming/blob/master/UVA/UVA%2010080.cpp","Sol")</f>
        <v/>
      </c>
      <c r="N542" s="488" t="inlineStr">
        <is>
          <t>graph, max-flow, bipartite match</t>
        </is>
      </c>
      <c r="O542" s="488" t="n">
        <v>72</v>
      </c>
      <c r="P542" s="488" t="n">
        <v>4</v>
      </c>
    </row>
    <row r="543" ht="15.75" customHeight="1" s="279">
      <c r="A543" s="420" t="inlineStr">
        <is>
          <t>Software Allocation</t>
        </is>
      </c>
      <c r="B543" s="475">
        <f>HYPERLINK("https://uva.onlinejudge.org/index.php?option=com_onlinejudge&amp;Itemid=8&amp;page=show_problem&amp;problem=195","UVA 259")</f>
        <v/>
      </c>
      <c r="C543" s="418" t="n"/>
      <c r="D543" s="418" t="n"/>
      <c r="E543" s="418" t="n"/>
      <c r="F543" s="418" t="n"/>
      <c r="G543" s="418" t="n"/>
      <c r="H543" s="418" t="n"/>
      <c r="I543" s="404">
        <f>SUM(E543:H543)</f>
        <v/>
      </c>
      <c r="J543" s="404" t="n"/>
      <c r="K543" s="404" t="n"/>
      <c r="L543" s="418" t="n"/>
      <c r="M543" s="493">
        <f>HYPERLINK("https://github.com/mostafa-saad/MyCompetitiveProgramming/blob/master/UVA/UVA_259.txt","Sol")</f>
        <v/>
      </c>
      <c r="N543" s="488" t="inlineStr">
        <is>
          <t>graph, max-flow, bipartite match or impl</t>
        </is>
      </c>
      <c r="O543" s="488" t="n">
        <v>72</v>
      </c>
      <c r="P543" s="488" t="n">
        <v>4.5</v>
      </c>
    </row>
    <row r="544" ht="15.75" customHeight="1" s="279">
      <c r="A544" s="420" t="n"/>
      <c r="B544" s="420" t="inlineStr">
        <is>
          <t>UVA 670</t>
        </is>
      </c>
      <c r="C544" s="418" t="n"/>
      <c r="D544" s="418" t="n"/>
      <c r="E544" s="418" t="n"/>
      <c r="F544" s="418" t="n"/>
      <c r="G544" s="418" t="n"/>
      <c r="H544" s="418" t="n"/>
      <c r="I544" s="404">
        <f>SUM(E544:H544)</f>
        <v/>
      </c>
      <c r="J544" s="418" t="n"/>
      <c r="K544" s="418" t="n"/>
      <c r="L544" s="418" t="n"/>
      <c r="M544" s="475">
        <f>HYPERLINK("https://github.com/tanmoy13/CompetitveProgramming/blob/master/Online-Judge-Solutions/UVA/670%20-%20The%20dog%20task.cpp","Sol")</f>
        <v/>
      </c>
      <c r="N544" s="488" t="inlineStr">
        <is>
          <t>graph, max-flow, bipartite match</t>
        </is>
      </c>
      <c r="O544" s="488" t="n">
        <v>72</v>
      </c>
      <c r="P544" s="488" t="n">
        <v>5</v>
      </c>
      <c r="Q544" s="297" t="inlineStr">
        <is>
          <t>p3</t>
        </is>
      </c>
    </row>
    <row r="545" ht="15.75" customHeight="1" s="279">
      <c r="A545" s="420" t="n"/>
      <c r="B545" s="420" t="inlineStr">
        <is>
          <t>UVA 1184</t>
        </is>
      </c>
      <c r="C545" s="418" t="n"/>
      <c r="D545" s="418" t="n"/>
      <c r="E545" s="418" t="n"/>
      <c r="F545" s="418" t="n"/>
      <c r="G545" s="418" t="n"/>
      <c r="H545" s="418" t="n"/>
      <c r="I545" s="404">
        <f>SUM(E545:H545)</f>
        <v/>
      </c>
      <c r="J545" s="418" t="n"/>
      <c r="K545" s="418" t="n"/>
      <c r="L545" s="418" t="n"/>
      <c r="M545" s="475">
        <f>HYPERLINK("https://github.com/AhmedRamadanAbdElghany/CompetitiveProgramming/blob/master/UVA/1184.cpp","Sol")</f>
        <v/>
      </c>
      <c r="N545" s="488" t="inlineStr">
        <is>
          <t>graph, max-flow, bipartite match, min path cover, [direct, =uva 1201, uva 12083]</t>
        </is>
      </c>
      <c r="O545" s="488" t="n">
        <v>72</v>
      </c>
      <c r="P545" s="488" t="n">
        <v>5</v>
      </c>
      <c r="Q545" s="297" t="inlineStr">
        <is>
          <t>p2</t>
        </is>
      </c>
    </row>
    <row r="546" ht="15.75" customHeight="1" s="279">
      <c r="A546" s="420" t="n"/>
      <c r="B546" s="420" t="inlineStr">
        <is>
          <t>UVA 1194</t>
        </is>
      </c>
      <c r="C546" s="418" t="n"/>
      <c r="D546" s="418" t="n"/>
      <c r="E546" s="418" t="n"/>
      <c r="F546" s="418" t="n"/>
      <c r="G546" s="418" t="n"/>
      <c r="H546" s="418" t="n"/>
      <c r="I546" s="404">
        <f>SUM(E546:H546)</f>
        <v/>
      </c>
      <c r="J546" s="404" t="n"/>
      <c r="K546" s="404" t="n"/>
      <c r="L546" s="418" t="n"/>
      <c r="M546" s="493">
        <f>HYPERLINK("https://github.com/ilyesG/Competitive-Programming/blob/master/UVA/UVA%201194.cpp","Sol")</f>
        <v/>
      </c>
      <c r="N546" s="488" t="inlineStr">
        <is>
          <t>graph, max-flow, bipartite match, min vertex cover, [konig’s theorem]</t>
        </is>
      </c>
      <c r="O546" s="488" t="n">
        <v>72</v>
      </c>
      <c r="P546" s="488" t="n">
        <v>5.5</v>
      </c>
      <c r="Q546" s="297" t="inlineStr">
        <is>
          <t>p4</t>
        </is>
      </c>
    </row>
    <row r="547" ht="15.75" customHeight="1" s="279">
      <c r="A547" s="420" t="n"/>
      <c r="B547" s="475">
        <f>HYPERLINK("https://uva.onlinejudge.org/index.php?option=onlinejudge&amp;page=show_problem&amp;problem=1290","UVA 10349")</f>
        <v/>
      </c>
      <c r="C547" s="418" t="n"/>
      <c r="D547" s="418" t="n"/>
      <c r="E547" s="418" t="n"/>
      <c r="F547" s="418" t="n"/>
      <c r="G547" s="418" t="n"/>
      <c r="H547" s="418" t="n"/>
      <c r="I547" s="404">
        <f>SUM(E547:H547)</f>
        <v/>
      </c>
      <c r="J547" s="404" t="n"/>
      <c r="K547" s="404" t="n"/>
      <c r="L547" s="418" t="n"/>
      <c r="M547" s="493">
        <f>HYPERLINK("https://github.com/mostafa-saad/MyCompetitiveProgramming/blob/master/UVA/UVA_10349.txt","Sol - 2 ways")</f>
        <v/>
      </c>
      <c r="N547" s="488" t="inlineStr">
        <is>
          <t>graph, max-flow, bipartite match, max independent set or dp_bitmasks</t>
        </is>
      </c>
      <c r="O547" s="488" t="n">
        <v>72</v>
      </c>
      <c r="P547" s="488" t="n">
        <v>5.5</v>
      </c>
      <c r="Q547" s="297" t="inlineStr">
        <is>
          <t>p3</t>
        </is>
      </c>
    </row>
    <row r="548" ht="15.75" customHeight="1" s="279">
      <c r="A548" s="420" t="n"/>
      <c r="B548" s="475">
        <f>HYPERLINK("https://uva.onlinejudge.org/index.php?option=com_onlinejudge&amp;Itemid=8&amp;page=show_problem&amp;problem=2100","UVA 11159")</f>
        <v/>
      </c>
      <c r="C548" s="418" t="n"/>
      <c r="D548" s="418" t="n"/>
      <c r="E548" s="418" t="n"/>
      <c r="F548" s="418" t="n"/>
      <c r="G548" s="418" t="n"/>
      <c r="H548" s="418" t="n"/>
      <c r="I548" s="404">
        <f>SUM(E548:H548)</f>
        <v/>
      </c>
      <c r="J548" s="404" t="n"/>
      <c r="K548" s="404" t="n"/>
      <c r="L548" s="418" t="n"/>
      <c r="M548" s="493">
        <f>HYPERLINK("https://github.com/mostafa-saad/MyCompetitiveProgramming/blob/master/UVA/UVA_11159.txt","Sol")</f>
        <v/>
      </c>
      <c r="N548" s="488" t="inlineStr">
        <is>
          <t>graph, max-flow, bipartite match, min path coverage, divisibility or min-cut</t>
        </is>
      </c>
      <c r="O548" s="488" t="n">
        <v>72</v>
      </c>
      <c r="P548" s="488" t="n">
        <v>5.5</v>
      </c>
      <c r="Q548" s="297" t="inlineStr">
        <is>
          <t>p3</t>
        </is>
      </c>
    </row>
    <row r="549" ht="15.75" customHeight="1" s="279">
      <c r="A549" s="420" t="n"/>
      <c r="B549" s="420" t="inlineStr">
        <is>
          <t>UVA 12168</t>
        </is>
      </c>
      <c r="C549" s="418" t="n"/>
      <c r="D549" s="418" t="n"/>
      <c r="E549" s="418" t="n"/>
      <c r="F549" s="418" t="n"/>
      <c r="G549" s="418" t="n"/>
      <c r="H549" s="418" t="n"/>
      <c r="I549" s="404">
        <f>SUM(E549:H549)</f>
        <v/>
      </c>
      <c r="J549" s="404" t="n"/>
      <c r="K549" s="404" t="n"/>
      <c r="L549" s="418" t="n"/>
      <c r="M549" s="493">
        <f>HYPERLINK("https://github.com/BRAINOOOO/CompetitiveProgramming/blob/master/UVA/V-121/UVA%2012168.Cpp","Sol")</f>
        <v/>
      </c>
      <c r="N549" s="488" t="inlineStr">
        <is>
          <t>graph, max-flow, bipartite match, konig's theorem</t>
        </is>
      </c>
      <c r="O549" s="488" t="n">
        <v>72</v>
      </c>
      <c r="P549" s="488" t="n">
        <v>6</v>
      </c>
      <c r="Q549" s="297" t="inlineStr">
        <is>
          <t>p3</t>
        </is>
      </c>
    </row>
    <row r="550" ht="15.75" customHeight="1" s="279">
      <c r="A550" s="420" t="n"/>
      <c r="B550" s="420" t="inlineStr">
        <is>
          <t>SPOJ QUEST4</t>
        </is>
      </c>
      <c r="C550" s="418" t="n"/>
      <c r="D550" s="418" t="n"/>
      <c r="E550" s="418" t="n"/>
      <c r="F550" s="418" t="n"/>
      <c r="G550" s="418" t="n"/>
      <c r="H550" s="418" t="n"/>
      <c r="I550" s="404">
        <f>SUM(E550:H550)</f>
        <v/>
      </c>
      <c r="J550" s="404" t="n"/>
      <c r="K550" s="404" t="n"/>
      <c r="L550" s="512" t="n"/>
      <c r="M550" s="493">
        <f>HYPERLINK("https://github.com/BRAINOOOO/CompetitiveProgramming/blob/master/Spoj/SPOJ%20QUEST4.Cpp","Sol")</f>
        <v/>
      </c>
      <c r="N550" s="488" t="inlineStr">
        <is>
          <t>graph, max-flow, bipartite match</t>
        </is>
      </c>
      <c r="O550" s="488" t="n">
        <v>72</v>
      </c>
      <c r="P550" s="488" t="n">
        <v>6</v>
      </c>
      <c r="Q550" s="297" t="inlineStr">
        <is>
          <t>p2</t>
        </is>
      </c>
    </row>
    <row r="551" ht="15.75" customHeight="1" s="279">
      <c r="A551" s="420" t="n"/>
      <c r="B551" s="420" t="inlineStr">
        <is>
          <t>UVA 663</t>
        </is>
      </c>
      <c r="C551" s="418" t="n"/>
      <c r="D551" s="418" t="n"/>
      <c r="E551" s="418" t="n"/>
      <c r="F551" s="418" t="n"/>
      <c r="G551" s="418" t="n"/>
      <c r="H551" s="418" t="n"/>
      <c r="I551" s="404">
        <f>SUM(E551:H551)</f>
        <v/>
      </c>
      <c r="J551" s="404" t="n"/>
      <c r="K551" s="404" t="n"/>
      <c r="L551" s="512" t="n"/>
      <c r="M551" s="493">
        <f>HYPERLINK("https://github.com/BRAINOOOO/CompetitiveProgramming/blob/master/UVA/V-6/UVA%20663.Cpp","Sol")</f>
        <v/>
      </c>
      <c r="N551" s="488" t="inlineStr">
        <is>
          <t>graph, max-flow, bipartite match</t>
        </is>
      </c>
      <c r="O551" s="488" t="n">
        <v>72</v>
      </c>
      <c r="P551" s="488" t="n">
        <v>6</v>
      </c>
      <c r="Q551" s="297" t="inlineStr">
        <is>
          <t>p1</t>
        </is>
      </c>
    </row>
    <row r="552" ht="15.75" customHeight="1" s="279">
      <c r="A552" s="420" t="inlineStr">
        <is>
          <t>Sabotage</t>
        </is>
      </c>
      <c r="B552" s="475">
        <f>HYPERLINK("https://uva.onlinejudge.org/index.php?option=onlinejudge&amp;page=show_problem&amp;problem=1421","UVA 10480")</f>
        <v/>
      </c>
      <c r="C552" s="418" t="n"/>
      <c r="D552" s="418" t="n"/>
      <c r="E552" s="418" t="n"/>
      <c r="F552" s="418" t="n"/>
      <c r="G552" s="418" t="n"/>
      <c r="H552" s="418" t="n"/>
      <c r="I552" s="404">
        <f>SUM(E552:H552)</f>
        <v/>
      </c>
      <c r="J552" s="404" t="n"/>
      <c r="K552" s="404" t="n"/>
      <c r="L552" s="418" t="n"/>
      <c r="M552" s="493">
        <f>HYPERLINK("https://github.com/abdullaAshraf/Problem-Solving/blob/master/UVA/10480.cpp","Sol")</f>
        <v/>
      </c>
      <c r="N552" s="488" t="inlineStr">
        <is>
          <t>graph, max-flow, min-cut, [print, as in video]</t>
        </is>
      </c>
      <c r="O552" s="488" t="n">
        <v>74</v>
      </c>
      <c r="P552" s="488" t="n">
        <v>4.5</v>
      </c>
      <c r="Q552" s="297" t="inlineStr">
        <is>
          <t>p1</t>
        </is>
      </c>
    </row>
    <row r="553" ht="15.75" customHeight="1" s="279">
      <c r="A553" s="420" t="inlineStr">
        <is>
          <t>Unique Attack</t>
        </is>
      </c>
      <c r="B553" s="475">
        <f>HYPERLINK("http://acm.zju.edu.cn/onlinejudge/showProblem.do?problemCode=2587","ZOJ 2587")</f>
        <v/>
      </c>
      <c r="C553" s="418" t="n"/>
      <c r="D553" s="418" t="n"/>
      <c r="E553" s="418" t="n"/>
      <c r="F553" s="418" t="n"/>
      <c r="G553" s="418" t="n"/>
      <c r="H553" s="418" t="n"/>
      <c r="I553" s="404">
        <f>SUM(E553:H553)</f>
        <v/>
      </c>
      <c r="J553" s="404" t="n"/>
      <c r="K553" s="404" t="n"/>
      <c r="L553" s="512" t="n"/>
      <c r="M553" s="475">
        <f>HYPERLINK("https://github.com/WaleedAbdelhakim/Competitive-Programming/blob/master/ZOJ/2587.cpp","Sol")</f>
        <v/>
      </c>
      <c r="N553" s="488" t="inlineStr">
        <is>
          <t>graph, max-flow, min-cut, cut edges</t>
        </is>
      </c>
      <c r="O553" s="488" t="n">
        <v>74</v>
      </c>
      <c r="P553" s="488" t="n">
        <v>5</v>
      </c>
      <c r="Q553" s="297" t="inlineStr">
        <is>
          <t>p2</t>
        </is>
      </c>
    </row>
    <row r="554" ht="15.75" customHeight="1" s="279">
      <c r="A554" s="420" t="inlineStr">
        <is>
          <t>Angry Programmer</t>
        </is>
      </c>
      <c r="B554" s="475">
        <f>HYPERLINK("https://uva.onlinejudge.org/index.php?option=onlinejudge&amp;page=show_problem&amp;problem=2501","UVA 11506")</f>
        <v/>
      </c>
      <c r="C554" s="418" t="n"/>
      <c r="D554" s="418" t="n"/>
      <c r="E554" s="418" t="n"/>
      <c r="F554" s="418" t="n"/>
      <c r="G554" s="418" t="n"/>
      <c r="H554" s="418" t="n"/>
      <c r="I554" s="404">
        <f>SUM(E554:H554)</f>
        <v/>
      </c>
      <c r="J554" s="404" t="n"/>
      <c r="K554" s="404" t="n"/>
      <c r="L554" s="512" t="n"/>
      <c r="M554" s="493">
        <f>HYPERLINK("https://github.com/abdullaAshraf/Problem-Solving/blob/master/UVA/11506.cpp","Sol")</f>
        <v/>
      </c>
      <c r="N554" s="488" t="inlineStr">
        <is>
          <t>graph, max-flow, min-cut, vertex constraints</t>
        </is>
      </c>
      <c r="O554" s="488" t="n">
        <v>74</v>
      </c>
      <c r="P554" s="488" t="n">
        <v>5.25</v>
      </c>
      <c r="Q554" s="297" t="inlineStr">
        <is>
          <t>p3</t>
        </is>
      </c>
    </row>
    <row r="555" ht="15.75" customHeight="1" s="279">
      <c r="A555" s="475">
        <f>HYPERLINK("https://community.topcoder.com/stat?c=problem_statement&amp;pm=10580","PeopleYouMayKnow")</f>
        <v/>
      </c>
      <c r="B555" s="420" t="inlineStr">
        <is>
          <t>SRM447-D1-500</t>
        </is>
      </c>
      <c r="C555" s="418" t="n"/>
      <c r="D555" s="418" t="n"/>
      <c r="E555" s="418" t="n"/>
      <c r="F555" s="418" t="n"/>
      <c r="G555" s="418" t="n"/>
      <c r="H555" s="418" t="n"/>
      <c r="I555" s="404">
        <f>SUM(E555:H555)</f>
        <v/>
      </c>
      <c r="J555" s="404" t="n"/>
      <c r="K555" s="404" t="n"/>
      <c r="L555" s="512" t="n"/>
      <c r="M555" s="493">
        <f>HYPERLINK("https://github.com/MohamedNabil97/CompetitiveProgramming/blob/master/TopCoder/SRM447-D1-500.cpp","Don't use DP. Check it later in editorial. Sol")</f>
        <v/>
      </c>
      <c r="N555" s="488" t="inlineStr">
        <is>
          <t>graph, max-flow, min-cut or dp</t>
        </is>
      </c>
      <c r="O555" s="488" t="n">
        <v>74</v>
      </c>
      <c r="P555" s="488" t="n">
        <v>5.5</v>
      </c>
      <c r="Q555" s="297" t="inlineStr">
        <is>
          <t>p3</t>
        </is>
      </c>
    </row>
    <row r="556" ht="15.75" customHeight="1" s="279">
      <c r="A556" s="420" t="n"/>
      <c r="B556" s="420" t="inlineStr">
        <is>
          <t>SPOJ COCONUTS</t>
        </is>
      </c>
      <c r="C556" s="418" t="n"/>
      <c r="D556" s="418" t="n"/>
      <c r="E556" s="418" t="n"/>
      <c r="F556" s="418" t="n"/>
      <c r="G556" s="418" t="n"/>
      <c r="H556" s="418" t="n"/>
      <c r="I556" s="404">
        <f>SUM(E556:H556)</f>
        <v/>
      </c>
      <c r="J556" s="404" t="n"/>
      <c r="K556" s="404" t="n"/>
      <c r="L556" s="512" t="n"/>
      <c r="M556" s="493">
        <f>HYPERLINK("https://github.com/Huvok/CompetitiveProgramming/blob/master/SPOJ/COCONUTS.cpp","Sol")</f>
        <v/>
      </c>
      <c r="N556" s="488" t="inlineStr">
        <is>
          <t>graph, max-flow, min-cut</t>
        </is>
      </c>
      <c r="O556" s="488" t="n">
        <v>74</v>
      </c>
      <c r="P556" s="488" t="n">
        <v>6</v>
      </c>
      <c r="Q556" s="297" t="inlineStr">
        <is>
          <t>p3</t>
        </is>
      </c>
    </row>
    <row r="557" ht="15.75" customHeight="1" s="279">
      <c r="A557" s="420" t="n"/>
      <c r="B557" s="420" t="inlineStr">
        <is>
          <t>SRM465-D1-500</t>
        </is>
      </c>
      <c r="C557" s="418" t="n"/>
      <c r="D557" s="418" t="n"/>
      <c r="E557" s="418" t="n"/>
      <c r="F557" s="418" t="n"/>
      <c r="G557" s="418" t="n"/>
      <c r="H557" s="418" t="n"/>
      <c r="I557" s="404">
        <f>SUM(E557:H557)</f>
        <v/>
      </c>
      <c r="J557" s="418" t="n"/>
      <c r="K557" s="418" t="n"/>
      <c r="L557" s="512" t="n"/>
      <c r="M557" s="493">
        <f>HYPERLINK("https://github.com/yazanKabbany/CompetitiveProgramming/blob/master/Topcoder/SRM465-D1-500.cpp","Sol")</f>
        <v/>
      </c>
      <c r="N557" s="488" t="inlineStr">
        <is>
          <t>graph, max-flow, min-cut</t>
        </is>
      </c>
      <c r="O557" s="488" t="n">
        <v>74</v>
      </c>
      <c r="P557" s="488" t="n">
        <v>6.25</v>
      </c>
      <c r="Q557" s="297" t="inlineStr">
        <is>
          <t>p3</t>
        </is>
      </c>
    </row>
    <row r="558" ht="15.75" customHeight="1" s="279">
      <c r="A558" s="420" t="inlineStr">
        <is>
          <t>Highways</t>
        </is>
      </c>
      <c r="B558" s="475">
        <f>HYPERLINK("https://uva.onlinejudge.org/index.php?option=com_onlinejudge&amp;Itemid=8&amp;page=show_problem&amp;problem=1088","UVA 10147")</f>
        <v/>
      </c>
      <c r="C558" s="418" t="n"/>
      <c r="D558" s="418" t="n"/>
      <c r="E558" s="418" t="n"/>
      <c r="F558" s="418" t="n"/>
      <c r="G558" s="418" t="n"/>
      <c r="H558" s="418" t="n"/>
      <c r="I558" s="404">
        <f>SUM(E558:H558)</f>
        <v/>
      </c>
      <c r="J558" s="404" t="n"/>
      <c r="K558" s="404" t="n"/>
      <c r="L558" s="418" t="n"/>
      <c r="M558" s="475">
        <f>HYPERLINK("https://www.youtube.com/watch?v=yNkLz4OVXtI","Video Solution - Eng Mahmoud Adel")</f>
        <v/>
      </c>
      <c r="N558" s="488" t="inlineStr">
        <is>
          <t>graph, mst</t>
        </is>
      </c>
      <c r="O558" s="488" t="n">
        <v>76</v>
      </c>
      <c r="P558" s="488" t="n">
        <v>3</v>
      </c>
    </row>
    <row r="559" ht="15.75" customHeight="1" s="279">
      <c r="A559" s="420" t="inlineStr">
        <is>
          <t>Is There A Second Way Left?</t>
        </is>
      </c>
      <c r="B559" s="475">
        <f>HYPERLINK("https://uva.onlinejudge.org/index.php?option=onlinejudge&amp;page=show_problem&amp;problem=1403","UVA 10462")</f>
        <v/>
      </c>
      <c r="C559" s="418" t="n"/>
      <c r="D559" s="418" t="n"/>
      <c r="E559" s="418" t="n"/>
      <c r="F559" s="418" t="n"/>
      <c r="G559" s="418" t="n"/>
      <c r="H559" s="418" t="n"/>
      <c r="I559" s="404">
        <f>SUM(E559:H559)</f>
        <v/>
      </c>
      <c r="J559" s="418" t="n"/>
      <c r="K559" s="418" t="n"/>
      <c r="L559" s="418" t="n"/>
      <c r="M559" s="472" t="inlineStr">
        <is>
          <t>Sol</t>
        </is>
      </c>
      <c r="N559" s="488" t="inlineStr">
        <is>
          <t>graph, mst, 2nd mst</t>
        </is>
      </c>
      <c r="O559" s="488" t="n">
        <v>76</v>
      </c>
      <c r="P559" s="488" t="n">
        <v>3</v>
      </c>
    </row>
    <row r="560" ht="15.75" customHeight="1" s="279">
      <c r="A560" s="420" t="n"/>
      <c r="B560" s="420" t="inlineStr">
        <is>
          <t>UVA 10843</t>
        </is>
      </c>
      <c r="C560" s="418" t="n"/>
      <c r="D560" s="418" t="n"/>
      <c r="E560" s="418" t="n"/>
      <c r="F560" s="418" t="n"/>
      <c r="G560" s="418" t="n"/>
      <c r="H560" s="418" t="n"/>
      <c r="I560" s="404">
        <f>SUM(E560:H560)</f>
        <v/>
      </c>
      <c r="J560" s="418" t="n"/>
      <c r="K560" s="418" t="n"/>
      <c r="L560" s="418" t="n"/>
      <c r="M560" s="493">
        <f>HYPERLINK("https://www.geeksforgeeks.org/total-number-spanning-trees-graph/","Theory result to read")</f>
        <v/>
      </c>
      <c r="N560" s="488" t="inlineStr">
        <is>
          <t>graph, mst, # of spanning trees of complete graph, n^(n-2)</t>
        </is>
      </c>
      <c r="O560" s="488" t="n">
        <v>76</v>
      </c>
      <c r="P560" s="488" t="n">
        <v>4</v>
      </c>
      <c r="Q560" s="297" t="inlineStr">
        <is>
          <t>p2</t>
        </is>
      </c>
    </row>
    <row r="561" ht="15.75" customHeight="1" s="279">
      <c r="A561" s="420" t="inlineStr">
        <is>
          <t>ACM contest and Blackout</t>
        </is>
      </c>
      <c r="B561" s="475">
        <f>HYPERLINK("https://uva.onlinejudge.org/index.php?option=com_onlinejudge&amp;Itemid=8&amp;page=show_problem&amp;problem=1541","UVA 10600")</f>
        <v/>
      </c>
      <c r="C561" s="418" t="n"/>
      <c r="D561" s="418" t="n"/>
      <c r="E561" s="418" t="n"/>
      <c r="F561" s="418" t="n"/>
      <c r="G561" s="418" t="n"/>
      <c r="H561" s="418" t="n"/>
      <c r="I561" s="404">
        <f>SUM(E561:H561)</f>
        <v/>
      </c>
      <c r="J561" s="404" t="n"/>
      <c r="K561" s="404" t="n"/>
      <c r="L561" s="418" t="n"/>
      <c r="M561" s="475">
        <f>HYPERLINK("https://www.youtube.com/watch?v=94EApxauQQE&amp;feature=youtu.be","Video Solution - Eng Moaz Rashad")</f>
        <v/>
      </c>
      <c r="N561" s="488" t="inlineStr">
        <is>
          <t>graph, mst, 2nd mst</t>
        </is>
      </c>
      <c r="O561" s="488" t="n">
        <v>76</v>
      </c>
      <c r="P561" s="488" t="n">
        <v>4.5</v>
      </c>
      <c r="Q561" s="297" t="inlineStr">
        <is>
          <t>p1</t>
        </is>
      </c>
    </row>
    <row r="562" ht="15.75" customHeight="1" s="279">
      <c r="A562" s="475">
        <f>HYPERLINK("https://community.topcoder.com/stat?c=problem_statement&amp;pm=11049&amp;rd=14245","TimeTravellingSalesman")</f>
        <v/>
      </c>
      <c r="B562" s="420" t="inlineStr">
        <is>
          <t>SRM492-D2-1000</t>
        </is>
      </c>
      <c r="C562" s="418" t="n"/>
      <c r="D562" s="418" t="n"/>
      <c r="E562" s="418" t="n"/>
      <c r="F562" s="418" t="n"/>
      <c r="G562" s="418" t="n"/>
      <c r="H562" s="418" t="n"/>
      <c r="I562" s="404">
        <f>SUM(E562:H562)</f>
        <v/>
      </c>
      <c r="J562" s="404" t="n"/>
      <c r="K562" s="404" t="n"/>
      <c r="L562" s="512" t="n"/>
      <c r="M562" s="488" t="n"/>
      <c r="N562" s="488" t="inlineStr">
        <is>
          <t>graph, mst</t>
        </is>
      </c>
      <c r="O562" s="488" t="n">
        <v>76</v>
      </c>
      <c r="P562" s="488" t="n">
        <v>5</v>
      </c>
      <c r="Q562" s="297" t="inlineStr">
        <is>
          <t>p3</t>
        </is>
      </c>
    </row>
    <row r="563" ht="15.75" customHeight="1" s="279">
      <c r="A563" s="420" t="n"/>
      <c r="B563" s="475">
        <f>HYPERLINK("http://codeforces.com/contest/472/problem/D","CF472-D12-D")</f>
        <v/>
      </c>
      <c r="C563" s="418" t="n"/>
      <c r="D563" s="418" t="n"/>
      <c r="E563" s="418" t="n"/>
      <c r="F563" s="418" t="n"/>
      <c r="G563" s="418" t="n"/>
      <c r="H563" s="418" t="n"/>
      <c r="I563" s="404">
        <f>SUM(E563:H563)</f>
        <v/>
      </c>
      <c r="J563" s="418" t="n"/>
      <c r="K563" s="418" t="n"/>
      <c r="L563" s="418" t="n"/>
      <c r="M563" s="488" t="n"/>
      <c r="N563" s="488" t="inlineStr">
        <is>
          <t>graph, mst, [cases], [validate tree]</t>
        </is>
      </c>
      <c r="O563" s="488" t="n">
        <v>76</v>
      </c>
      <c r="P563" s="488" t="n">
        <v>5</v>
      </c>
      <c r="Q563" s="297" t="inlineStr">
        <is>
          <t>p3</t>
        </is>
      </c>
    </row>
    <row r="564" ht="15.75" customHeight="1" s="279">
      <c r="A564" s="420" t="inlineStr">
        <is>
          <t>RACING</t>
        </is>
      </c>
      <c r="B564" s="475">
        <f>HYPERLINK("https://uva.onlinejudge.org/index.php?option=com_onlinejudge&amp;Itemid=8&amp;page=show_problem&amp;problem=3675","UVA 1234")</f>
        <v/>
      </c>
      <c r="C564" s="418" t="n"/>
      <c r="D564" s="418" t="n"/>
      <c r="E564" s="418" t="n"/>
      <c r="F564" s="418" t="n"/>
      <c r="G564" s="418" t="n"/>
      <c r="H564" s="418" t="n"/>
      <c r="I564" s="404">
        <f>SUM(E564:H564)</f>
        <v/>
      </c>
      <c r="J564" s="404" t="n"/>
      <c r="K564" s="404" t="n"/>
      <c r="L564" s="512" t="n"/>
      <c r="M564" s="493">
        <f>HYPERLINK("https://github.com/MohamedNabil97/CompetitiveProgramming/tree/master/UVA/1234.cpp","Sol")</f>
        <v/>
      </c>
      <c r="N564" s="488" t="inlineStr">
        <is>
          <t>graph, mst, max spanning tree</t>
        </is>
      </c>
      <c r="O564" s="488" t="n">
        <v>76</v>
      </c>
      <c r="P564" s="488" t="n">
        <v>5</v>
      </c>
      <c r="Q564" s="297" t="inlineStr">
        <is>
          <t>p2</t>
        </is>
      </c>
    </row>
    <row r="565" ht="15.75" customHeight="1" s="279">
      <c r="A565" s="420" t="inlineStr">
        <is>
          <t>Arctic Network</t>
        </is>
      </c>
      <c r="B565" s="475">
        <f>HYPERLINK("https://uva.onlinejudge.org/index.php?option=com_onlinejudge&amp;Itemid=8&amp;page=show_problem&amp;problem=1310","UVA 10369")</f>
        <v/>
      </c>
      <c r="C565" s="418" t="n"/>
      <c r="D565" s="418" t="n"/>
      <c r="E565" s="418" t="n"/>
      <c r="F565" s="418" t="n"/>
      <c r="G565" s="418" t="n"/>
      <c r="H565" s="418" t="n"/>
      <c r="I565" s="404">
        <f>SUM(E565:H565)</f>
        <v/>
      </c>
      <c r="J565" s="404" t="n"/>
      <c r="K565" s="404" t="n"/>
      <c r="L565" s="418" t="n"/>
      <c r="M565" s="420" t="n"/>
      <c r="N565" s="488" t="inlineStr">
        <is>
          <t>graph, mst, [prime fails]</t>
        </is>
      </c>
      <c r="O565" s="488" t="n">
        <v>76</v>
      </c>
      <c r="P565" s="488" t="n">
        <v>5</v>
      </c>
      <c r="Q565" s="297" t="inlineStr">
        <is>
          <t>p2</t>
        </is>
      </c>
    </row>
    <row r="566" ht="15.75" customHeight="1" s="279">
      <c r="A566" s="475">
        <f>HYPERLINK("https://community.topcoder.com/stat?c=problem_statement&amp;pm=11282&amp;rd=14724","KingdomReorganization")</f>
        <v/>
      </c>
      <c r="B566" s="420" t="inlineStr">
        <is>
          <t>SRM531-D2-1000</t>
        </is>
      </c>
      <c r="C566" s="418" t="n"/>
      <c r="D566" s="418" t="n"/>
      <c r="E566" s="418" t="n"/>
      <c r="F566" s="418" t="n"/>
      <c r="G566" s="418" t="n"/>
      <c r="H566" s="418" t="n"/>
      <c r="I566" s="404">
        <f>SUM(E566:H566)</f>
        <v/>
      </c>
      <c r="J566" s="404" t="n"/>
      <c r="K566" s="404" t="n"/>
      <c r="L566" s="512" t="n"/>
      <c r="M566" s="488" t="n"/>
      <c r="N566" s="488" t="inlineStr">
        <is>
          <t>graph, mst</t>
        </is>
      </c>
      <c r="O566" s="488" t="n">
        <v>76</v>
      </c>
      <c r="P566" s="488" t="n">
        <v>5</v>
      </c>
      <c r="Q566" s="297" t="inlineStr">
        <is>
          <t>p1</t>
        </is>
      </c>
    </row>
    <row r="567" ht="15.75" customHeight="1" s="279">
      <c r="A567" s="420" t="inlineStr">
        <is>
          <t>Lazy Student</t>
        </is>
      </c>
      <c r="B567" s="475">
        <f>HYPERLINK("http://codeforces.com/contest/606/problem/D","CF606-D2-D")</f>
        <v/>
      </c>
      <c r="C567" s="418" t="n"/>
      <c r="D567" s="418" t="n"/>
      <c r="E567" s="418" t="n"/>
      <c r="F567" s="418" t="n"/>
      <c r="G567" s="418" t="n"/>
      <c r="H567" s="418" t="n"/>
      <c r="I567" s="404">
        <f>SUM(E567:H567)</f>
        <v/>
      </c>
      <c r="J567" s="418" t="n"/>
      <c r="K567" s="418" t="n"/>
      <c r="L567" s="418" t="n"/>
      <c r="M567" s="420" t="n"/>
      <c r="N567" s="488" t="inlineStr">
        <is>
          <t>graph, mst</t>
        </is>
      </c>
      <c r="O567" s="488" t="n">
        <v>76</v>
      </c>
      <c r="P567" s="488" t="n">
        <v>5</v>
      </c>
    </row>
    <row r="568" ht="15.75" customHeight="1" s="279">
      <c r="A568" s="475">
        <f>HYPERLINK("https://community.topcoder.com/stat?c=problem_statement&amp;pm=10750&amp;rd=14153","ActivateGame")</f>
        <v/>
      </c>
      <c r="B568" s="420" t="inlineStr">
        <is>
          <t>SRM470-D2-1000</t>
        </is>
      </c>
      <c r="C568" s="418" t="n"/>
      <c r="D568" s="418" t="n"/>
      <c r="E568" s="418" t="n"/>
      <c r="F568" s="418" t="n"/>
      <c r="G568" s="418" t="n"/>
      <c r="H568" s="418" t="n"/>
      <c r="I568" s="404">
        <f>SUM(E568:H568)</f>
        <v/>
      </c>
      <c r="J568" s="404" t="n"/>
      <c r="K568" s="404" t="n"/>
      <c r="L568" s="512" t="n"/>
      <c r="M568" s="488" t="n"/>
      <c r="N568" s="488" t="inlineStr">
        <is>
          <t>graph, mst</t>
        </is>
      </c>
      <c r="O568" s="488" t="n">
        <v>76</v>
      </c>
      <c r="P568" s="488" t="n">
        <v>5.25</v>
      </c>
    </row>
    <row r="569" ht="15.75" customHeight="1" s="279">
      <c r="A569" s="420" t="inlineStr">
        <is>
          <t>Minimal Ratio Tree</t>
        </is>
      </c>
      <c r="B569" s="475">
        <f>HYPERLINK("https://icpcarchive.ecs.baylor.edu/index.php?option=onlinejudge&amp;page=show_problem&amp;problem=2327","LIVEARCHIVE 4326")</f>
        <v/>
      </c>
      <c r="C569" s="418" t="n"/>
      <c r="D569" s="418" t="n"/>
      <c r="E569" s="418" t="n"/>
      <c r="F569" s="418" t="n"/>
      <c r="G569" s="418" t="n"/>
      <c r="H569" s="418" t="n"/>
      <c r="I569" s="404">
        <f>SUM(E569:H569)</f>
        <v/>
      </c>
      <c r="J569" s="404" t="n"/>
      <c r="K569" s="404" t="n"/>
      <c r="L569" s="512" t="n"/>
      <c r="M569" s="488" t="n"/>
      <c r="N569" s="488" t="inlineStr">
        <is>
          <t>graph, mst, combinatorics</t>
        </is>
      </c>
      <c r="O569" s="488" t="n">
        <v>76</v>
      </c>
      <c r="P569" s="488" t="n">
        <v>6</v>
      </c>
    </row>
    <row r="570" ht="15.75" customHeight="1" s="279">
      <c r="A570" s="420" t="inlineStr">
        <is>
          <t>The Bottom of a Graph</t>
        </is>
      </c>
      <c r="B570" s="475">
        <f>HYPERLINK("http://www.spoj.com/problems/BOTTOM/","SPOJ BOTTOM")</f>
        <v/>
      </c>
      <c r="C570" s="418" t="n"/>
      <c r="D570" s="418" t="n"/>
      <c r="E570" s="418" t="n"/>
      <c r="F570" s="418" t="n"/>
      <c r="G570" s="418" t="n"/>
      <c r="H570" s="418" t="n"/>
      <c r="I570" s="404">
        <f>SUM(E570:H570)</f>
        <v/>
      </c>
      <c r="J570" s="404" t="n"/>
      <c r="K570" s="404" t="n"/>
      <c r="L570" s="418" t="n"/>
      <c r="M570" s="493">
        <f>HYPERLINK("https://github.com/BRAINOOOO/CompetitiveProgramming/blob/master/Spoj/SPOJ%20BOTTOM.Cpp","Sol")</f>
        <v/>
      </c>
      <c r="N570" s="488" t="inlineStr">
        <is>
          <t>graph, scc</t>
        </is>
      </c>
      <c r="O570" s="488" t="n">
        <v>77</v>
      </c>
      <c r="P570" s="488" t="n">
        <v>3</v>
      </c>
    </row>
    <row r="571" ht="15.75" customHeight="1" s="279">
      <c r="A571" s="420" t="inlineStr">
        <is>
          <t>Test</t>
        </is>
      </c>
      <c r="B571" s="475">
        <f>HYPERLINK("https://uva.onlinejudge.org/index.php?option=onlinejudge&amp;page=show_problem&amp;problem=1672","UVA 10731")</f>
        <v/>
      </c>
      <c r="C571" s="418" t="n"/>
      <c r="D571" s="418" t="n"/>
      <c r="E571" s="418" t="n"/>
      <c r="F571" s="418" t="n"/>
      <c r="G571" s="418" t="n"/>
      <c r="H571" s="418" t="n"/>
      <c r="I571" s="404">
        <f>SUM(E571:H571)</f>
        <v/>
      </c>
      <c r="J571" s="418" t="n"/>
      <c r="K571" s="418" t="n"/>
      <c r="L571" s="418" t="n"/>
      <c r="M571" s="493">
        <f>HYPERLINK("https://github.com/goar5670/CompetitiveProgramming/blob/master/UVA%2010731.cpp","Sol")</f>
        <v/>
      </c>
      <c r="N571" s="488" t="inlineStr">
        <is>
          <t>graph, scc</t>
        </is>
      </c>
      <c r="O571" s="488" t="n">
        <v>77</v>
      </c>
      <c r="P571" s="488" t="n">
        <v>3.5</v>
      </c>
    </row>
    <row r="572" ht="15.75" customHeight="1" s="279">
      <c r="A572" s="420" t="inlineStr">
        <is>
          <t>Dominos</t>
        </is>
      </c>
      <c r="B572" s="475">
        <f>HYPERLINK("https://uva.onlinejudge.org/index.php?option=onlinejudge&amp;page=show_problem&amp;problem=2499","UVA 11504")</f>
        <v/>
      </c>
      <c r="C572" s="418" t="n"/>
      <c r="D572" s="418" t="n"/>
      <c r="E572" s="418" t="n"/>
      <c r="F572" s="418" t="n"/>
      <c r="G572" s="418" t="n"/>
      <c r="H572" s="418" t="n"/>
      <c r="I572" s="404">
        <f>SUM(E572:H572)</f>
        <v/>
      </c>
      <c r="J572" s="418" t="n"/>
      <c r="K572" s="418" t="n"/>
      <c r="L572" s="512" t="n"/>
      <c r="M572" s="493">
        <f>HYPERLINK("https://github.com/mostafa-saad/MyCompetitiveProgramming/blob/master/UVA/UVA_11504.txt","Sol")</f>
        <v/>
      </c>
      <c r="N572" s="488" t="inlineStr">
        <is>
          <t>graph, scc or topological sort, [=uva 11770, ~=tju 2233]</t>
        </is>
      </c>
      <c r="O572" s="488" t="n">
        <v>77</v>
      </c>
      <c r="P572" s="488" t="n">
        <v>4.5</v>
      </c>
      <c r="Q572" s="297" t="inlineStr">
        <is>
          <t>p1</t>
        </is>
      </c>
    </row>
    <row r="573" ht="15.75" customHeight="1" s="279">
      <c r="A573" s="420" t="n"/>
      <c r="B573" s="475">
        <f>HYPERLINK("http://codeforces.com/contest/467/problem/D","CF467-D2-D")</f>
        <v/>
      </c>
      <c r="C573" s="418" t="n"/>
      <c r="D573" s="418" t="n"/>
      <c r="E573" s="418" t="n"/>
      <c r="F573" s="418" t="n"/>
      <c r="G573" s="418" t="n"/>
      <c r="H573" s="418" t="n"/>
      <c r="I573" s="404">
        <f>SUM(E573:H573)</f>
        <v/>
      </c>
      <c r="J573" s="418" t="n"/>
      <c r="K573" s="418" t="n"/>
      <c r="L573" s="418" t="n"/>
      <c r="M573" s="488" t="n"/>
      <c r="N573" s="488" t="inlineStr">
        <is>
          <t>graph, scc, hashing or dijkstra</t>
        </is>
      </c>
      <c r="O573" s="488" t="n">
        <v>77</v>
      </c>
      <c r="P573" s="488" t="n">
        <v>5</v>
      </c>
    </row>
    <row r="574" ht="15.75" customHeight="1" s="279">
      <c r="A574" s="420" t="n"/>
      <c r="B574" s="420" t="inlineStr">
        <is>
          <t>SRM312-D1-500</t>
        </is>
      </c>
      <c r="C574" s="418" t="n"/>
      <c r="D574" s="418" t="n"/>
      <c r="E574" s="418" t="n"/>
      <c r="F574" s="418" t="n"/>
      <c r="G574" s="418" t="n"/>
      <c r="H574" s="418" t="n"/>
      <c r="I574" s="404">
        <f>SUM(E574:H574)</f>
        <v/>
      </c>
      <c r="J574" s="418" t="n"/>
      <c r="K574" s="418" t="n"/>
      <c r="L574" s="418" t="n"/>
      <c r="M574" s="488" t="n"/>
      <c r="N574" s="488" t="inlineStr">
        <is>
          <t>graph, scc, greedy, [scc floyd]</t>
        </is>
      </c>
      <c r="O574" s="488" t="n">
        <v>77</v>
      </c>
      <c r="P574" s="488" t="n">
        <v>5.5</v>
      </c>
      <c r="Q574" s="297" t="inlineStr">
        <is>
          <t>p2</t>
        </is>
      </c>
    </row>
    <row r="575" ht="15.75" customHeight="1" s="279">
      <c r="A575" s="420" t="inlineStr">
        <is>
          <t>Proving Equivalences</t>
        </is>
      </c>
      <c r="B575" s="475">
        <f>HYPERLINK("https://uva.onlinejudge.org/index.php?option=com_onlinejudge&amp;Itemid=8&amp;page=show_problem&amp;problem=3319","UVA 12167")</f>
        <v/>
      </c>
      <c r="C575" s="418" t="n"/>
      <c r="D575" s="418" t="n"/>
      <c r="E575" s="418" t="n"/>
      <c r="F575" s="418" t="n"/>
      <c r="G575" s="418" t="n"/>
      <c r="H575" s="418" t="n"/>
      <c r="I575" s="404">
        <f>SUM(E575:H575)</f>
        <v/>
      </c>
      <c r="J575" s="404" t="n"/>
      <c r="K575" s="404" t="n"/>
      <c r="L575" s="512" t="n"/>
      <c r="M575" s="493">
        <f>HYPERLINK("https://github.com/abdullaAshraf/Problem-Solving/blob/master/UVA/12167.cpp","Sol")</f>
        <v/>
      </c>
      <c r="N575" s="488" t="inlineStr">
        <is>
          <t>graph, scc</t>
        </is>
      </c>
      <c r="O575" s="488" t="n">
        <v>77</v>
      </c>
      <c r="P575" s="488" t="n">
        <v>5.5</v>
      </c>
    </row>
    <row r="576" ht="15.75" customHeight="1" s="279">
      <c r="A576" s="420" t="n"/>
      <c r="B576" s="420" t="inlineStr">
        <is>
          <t>SRM608-D2-1000</t>
        </is>
      </c>
      <c r="C576" s="418" t="n"/>
      <c r="D576" s="418" t="n"/>
      <c r="E576" s="418" t="n"/>
      <c r="F576" s="418" t="n"/>
      <c r="G576" s="418" t="n"/>
      <c r="H576" s="418" t="n"/>
      <c r="I576" s="404">
        <f>SUM(E576:H576)</f>
        <v/>
      </c>
      <c r="J576" s="418" t="n"/>
      <c r="K576" s="418" t="n"/>
      <c r="L576" s="418" t="n"/>
      <c r="M576" s="493">
        <f>HYPERLINK("https://github.com/mostafa-saad/MyCompetitiveProgramming/blob/master/TopCoder/SRM608-D2-1000.txt","Sol")</f>
        <v/>
      </c>
      <c r="N576" s="488" t="inlineStr">
        <is>
          <t>graph, bf, floyd, cycles or max flow</t>
        </is>
      </c>
      <c r="O576" s="488" t="n"/>
      <c r="P576" s="488" t="n">
        <v>5.75</v>
      </c>
    </row>
    <row r="577" ht="15.75" customHeight="1" s="279">
      <c r="A577" s="420" t="n"/>
      <c r="B577" s="420" t="inlineStr">
        <is>
          <t>SRM391-D2-1000</t>
        </is>
      </c>
      <c r="C577" s="418" t="n"/>
      <c r="D577" s="418" t="n"/>
      <c r="E577" s="418" t="n"/>
      <c r="F577" s="418" t="n"/>
      <c r="G577" s="418" t="n"/>
      <c r="H577" s="418" t="n"/>
      <c r="I577" s="404">
        <f>SUM(E577:H577)</f>
        <v/>
      </c>
      <c r="J577" s="418" t="n"/>
      <c r="K577" s="418" t="n"/>
      <c r="L577" s="512" t="n"/>
      <c r="M577" s="488" t="n"/>
      <c r="N577" s="488" t="inlineStr">
        <is>
          <t>graph, scc, dp, [scc may help thoughts]</t>
        </is>
      </c>
      <c r="O577" s="488" t="n">
        <v>77</v>
      </c>
      <c r="P577" s="488" t="n">
        <v>6</v>
      </c>
      <c r="Q577" s="297" t="inlineStr">
        <is>
          <t>p3</t>
        </is>
      </c>
    </row>
    <row r="578" ht="15.75" customHeight="1" s="279">
      <c r="A578" s="420" t="n"/>
      <c r="B578" s="420" t="inlineStr">
        <is>
          <t>SRM495-D1-500</t>
        </is>
      </c>
      <c r="C578" s="418" t="n"/>
      <c r="D578" s="418" t="n"/>
      <c r="E578" s="418" t="n"/>
      <c r="F578" s="418" t="n"/>
      <c r="G578" s="418" t="n"/>
      <c r="H578" s="418" t="n"/>
      <c r="I578" s="404">
        <f>SUM(E578:H578)</f>
        <v/>
      </c>
      <c r="J578" s="404" t="n"/>
      <c r="K578" s="404" t="n"/>
      <c r="L578" s="512" t="n"/>
      <c r="M578" s="488" t="n"/>
      <c r="N578" s="488" t="inlineStr">
        <is>
          <t>graph, scc, probability, [more about probability]</t>
        </is>
      </c>
      <c r="O578" s="488" t="n">
        <v>77</v>
      </c>
      <c r="P578" s="488" t="n">
        <v>6.25</v>
      </c>
      <c r="Q578" s="304" t="n"/>
    </row>
    <row r="579" ht="15.75" customHeight="1" s="279">
      <c r="A579" s="420" t="n"/>
      <c r="B579" s="475">
        <f>HYPERLINK("http://codeforces.com/contest/403/problem/C","CF403-D1-C")</f>
        <v/>
      </c>
      <c r="C579" s="418" t="n"/>
      <c r="D579" s="418" t="n"/>
      <c r="E579" s="418" t="n"/>
      <c r="F579" s="418" t="n"/>
      <c r="G579" s="418" t="n"/>
      <c r="H579" s="418" t="n"/>
      <c r="I579" s="404">
        <f>SUM(E579:H579)</f>
        <v/>
      </c>
      <c r="J579" s="404" t="n"/>
      <c r="K579" s="404" t="n"/>
      <c r="L579" s="512" t="n"/>
      <c r="M579" s="488" t="n"/>
      <c r="N579" s="488" t="inlineStr">
        <is>
          <t>graph, scc, matrix or optimized bf, [using the property of the adjecency matrix for cycles, # of paths]</t>
        </is>
      </c>
      <c r="O579" s="488" t="n">
        <v>77</v>
      </c>
      <c r="P579" s="488" t="n">
        <v>6.25</v>
      </c>
      <c r="Q579" s="297" t="inlineStr">
        <is>
          <t>p5</t>
        </is>
      </c>
    </row>
    <row r="580" ht="15.75" customHeight="1" s="279">
      <c r="A580" s="420" t="inlineStr">
        <is>
          <t>Summer sell-off</t>
        </is>
      </c>
      <c r="B580" s="475">
        <f>HYPERLINK("http://codeforces.com/contest/810/problem/B","CF810-D2-B")</f>
        <v/>
      </c>
      <c r="C580" s="418" t="n"/>
      <c r="D580" s="418" t="n"/>
      <c r="E580" s="418" t="n"/>
      <c r="F580" s="418" t="n"/>
      <c r="G580" s="418" t="n"/>
      <c r="H580" s="418" t="n"/>
      <c r="I580" s="404">
        <f>SUM(E580:H580)</f>
        <v/>
      </c>
      <c r="J580" s="404" t="n"/>
      <c r="K580" s="404" t="n"/>
      <c r="L580" s="418" t="n"/>
      <c r="M580" s="475">
        <f>HYPERLINK("https://www.youtube.com/watch?v=cFqla_dXSBs","Video Solution - Solver to be (Java)")</f>
        <v/>
      </c>
      <c r="N580" s="488" t="inlineStr">
        <is>
          <t>greedy</t>
        </is>
      </c>
      <c r="O580" s="488" t="n">
        <v>84</v>
      </c>
      <c r="P580" s="488" t="n">
        <v>2</v>
      </c>
      <c r="Q580" s="297" t="inlineStr">
        <is>
          <t>p2</t>
        </is>
      </c>
    </row>
    <row r="581" ht="15.75" customHeight="1" s="279">
      <c r="A581" s="420" t="inlineStr">
        <is>
          <t>Minimum Ternary String</t>
        </is>
      </c>
      <c r="B581" s="475">
        <f>HYPERLINK("http://codeforces.com/contest/1009/problem/B","CF1009-D12-B")</f>
        <v/>
      </c>
      <c r="C581" s="418" t="n"/>
      <c r="D581" s="418" t="n"/>
      <c r="E581" s="418" t="n"/>
      <c r="F581" s="418" t="n"/>
      <c r="G581" s="418" t="n"/>
      <c r="H581" s="418" t="n"/>
      <c r="I581" s="404">
        <f>SUM(E581:H581)</f>
        <v/>
      </c>
      <c r="J581" s="418" t="n"/>
      <c r="K581" s="418" t="n"/>
      <c r="L581" s="418" t="n"/>
      <c r="M581" s="420" t="n"/>
      <c r="N581" s="488" t="inlineStr">
        <is>
          <t>greedy</t>
        </is>
      </c>
      <c r="O581" s="488" t="n">
        <v>84</v>
      </c>
      <c r="P581" s="488" t="n">
        <v>2</v>
      </c>
    </row>
    <row r="582" ht="15.75" customHeight="1" s="279">
      <c r="A582" s="420" t="inlineStr">
        <is>
          <t>Towers</t>
        </is>
      </c>
      <c r="B582" s="475">
        <f>HYPERLINK("http://codeforces.com/contest/479/problem/B","CF479-D2-B")</f>
        <v/>
      </c>
      <c r="C582" s="418" t="n"/>
      <c r="D582" s="418" t="n"/>
      <c r="E582" s="418" t="n"/>
      <c r="F582" s="418" t="n"/>
      <c r="G582" s="418" t="n"/>
      <c r="H582" s="418" t="n"/>
      <c r="I582" s="404">
        <f>SUM(E582:H582)</f>
        <v/>
      </c>
      <c r="J582" s="418" t="n"/>
      <c r="K582" s="418" t="n"/>
      <c r="L582" s="418" t="n"/>
      <c r="M582" s="421" t="n"/>
      <c r="N582" s="488" t="inlineStr">
        <is>
          <t>greedy</t>
        </is>
      </c>
      <c r="O582" s="488" t="n">
        <v>84</v>
      </c>
      <c r="P582" s="488" t="n">
        <v>2</v>
      </c>
    </row>
    <row r="583" ht="15.75" customHeight="1" s="279">
      <c r="A583" s="420" t="inlineStr">
        <is>
          <t>Semifinals</t>
        </is>
      </c>
      <c r="B583" s="475">
        <f>HYPERLINK("http://codeforces.com/contest/378/problem/B","CF378-D2-B")</f>
        <v/>
      </c>
      <c r="C583" s="418" t="n"/>
      <c r="D583" s="418" t="n"/>
      <c r="E583" s="418" t="n"/>
      <c r="F583" s="418" t="n"/>
      <c r="G583" s="418" t="n"/>
      <c r="H583" s="418" t="n"/>
      <c r="I583" s="404">
        <f>SUM(E583:H583)</f>
        <v/>
      </c>
      <c r="J583" s="418" t="n"/>
      <c r="K583" s="418" t="n"/>
      <c r="L583" s="418" t="n"/>
      <c r="M583" s="421" t="n"/>
      <c r="N583" s="519" t="inlineStr">
        <is>
          <t>greedy</t>
        </is>
      </c>
      <c r="O583" s="519" t="n">
        <v>84</v>
      </c>
      <c r="P583" s="488" t="n">
        <v>2</v>
      </c>
    </row>
    <row r="584" ht="15.75" customHeight="1" s="279">
      <c r="A584" s="420" t="inlineStr">
        <is>
          <t>The Child and Set</t>
        </is>
      </c>
      <c r="B584" s="475">
        <f>HYPERLINK("http://codeforces.com/contest/437/problem/B","CF437-D2-B")</f>
        <v/>
      </c>
      <c r="C584" s="418" t="n"/>
      <c r="D584" s="418" t="n"/>
      <c r="E584" s="418" t="n"/>
      <c r="F584" s="418" t="n"/>
      <c r="G584" s="418" t="n"/>
      <c r="H584" s="418" t="n"/>
      <c r="I584" s="404">
        <f>SUM(E584:H584)</f>
        <v/>
      </c>
      <c r="J584" s="418" t="n"/>
      <c r="K584" s="418" t="n"/>
      <c r="L584" s="418" t="n"/>
      <c r="M584" s="420" t="n"/>
      <c r="N584" s="488" t="inlineStr">
        <is>
          <t>greedy, sorting, bitmasks</t>
        </is>
      </c>
      <c r="O584" s="488" t="n">
        <v>84</v>
      </c>
      <c r="P584" s="488" t="n">
        <v>2.5</v>
      </c>
    </row>
    <row r="585" ht="15.75" customHeight="1" s="279">
      <c r="A585" s="420" t="inlineStr">
        <is>
          <t>Sort the Array</t>
        </is>
      </c>
      <c r="B585" s="475">
        <f>HYPERLINK("http://codeforces.com/contest/451/problem/B","CF451-D2-B")</f>
        <v/>
      </c>
      <c r="C585" s="418" t="n"/>
      <c r="D585" s="418" t="n"/>
      <c r="E585" s="418" t="n"/>
      <c r="F585" s="418" t="n"/>
      <c r="G585" s="418" t="n"/>
      <c r="H585" s="418" t="n"/>
      <c r="I585" s="404">
        <f>SUM(E585:H585)</f>
        <v/>
      </c>
      <c r="J585" s="404" t="n"/>
      <c r="K585" s="404" t="n"/>
      <c r="L585" s="418" t="n"/>
      <c r="M585" s="475">
        <f>HYPERLINK("https://www.youtube.com/watch?v=I_WHkB7Aeeo","Video Solution - Solver to be (Java)")</f>
        <v/>
      </c>
      <c r="N585" s="511" t="inlineStr">
        <is>
          <t>greedy, sorting</t>
        </is>
      </c>
      <c r="O585" s="488" t="n">
        <v>84</v>
      </c>
      <c r="P585" s="488" t="n">
        <v>2.5</v>
      </c>
      <c r="Q585" s="297" t="inlineStr">
        <is>
          <t>p2</t>
        </is>
      </c>
    </row>
    <row r="586" ht="15.75" customHeight="1" s="279">
      <c r="A586" s="420" t="inlineStr">
        <is>
          <t>Mahmoud and a Triangle</t>
        </is>
      </c>
      <c r="B586" s="475">
        <f>HYPERLINK("http://codeforces.com/contest/766/problem/B","CF766-D2-B")</f>
        <v/>
      </c>
      <c r="C586" s="418" t="n"/>
      <c r="D586" s="418" t="n"/>
      <c r="E586" s="418" t="n"/>
      <c r="F586" s="418" t="n"/>
      <c r="G586" s="418" t="n"/>
      <c r="H586" s="418" t="n"/>
      <c r="I586" s="404">
        <f>SUM(E586:H586)</f>
        <v/>
      </c>
      <c r="J586" s="404" t="n"/>
      <c r="K586" s="404" t="n"/>
      <c r="L586" s="418" t="n"/>
      <c r="M586" s="475">
        <f>HYPERLINK("https://www.youtube.com/watch?v=dCChUGZjaS4","Video Solution - Solver to be (Java)")</f>
        <v/>
      </c>
      <c r="N586" s="511" t="inlineStr">
        <is>
          <t>greedy</t>
        </is>
      </c>
      <c r="O586" s="488" t="n">
        <v>84</v>
      </c>
      <c r="P586" s="488" t="n">
        <v>2.5</v>
      </c>
      <c r="Q586" s="297" t="inlineStr">
        <is>
          <t>p3</t>
        </is>
      </c>
    </row>
    <row r="587" ht="15.75" customHeight="1" s="279">
      <c r="A587" s="420" t="inlineStr">
        <is>
          <t>Escape from Stones</t>
        </is>
      </c>
      <c r="B587" s="475">
        <f>HYPERLINK("http://codeforces.com/contest/265/problem/C","CF265-D2-C")</f>
        <v/>
      </c>
      <c r="C587" s="418" t="n"/>
      <c r="D587" s="418" t="n"/>
      <c r="E587" s="418" t="n"/>
      <c r="F587" s="418" t="n"/>
      <c r="G587" s="418" t="n"/>
      <c r="H587" s="418" t="n"/>
      <c r="I587" s="404">
        <f>SUM(E587:H587)</f>
        <v/>
      </c>
      <c r="J587" s="418" t="n"/>
      <c r="K587" s="418" t="n"/>
      <c r="L587" s="418" t="n"/>
      <c r="M587" s="420" t="n"/>
      <c r="N587" s="488" t="inlineStr">
        <is>
          <t>greedy, impl</t>
        </is>
      </c>
      <c r="O587" s="488" t="n">
        <v>84</v>
      </c>
      <c r="P587" s="488" t="n">
        <v>3</v>
      </c>
    </row>
    <row r="588" ht="15.75" customHeight="1" s="279">
      <c r="A588" s="420" t="inlineStr">
        <is>
          <t>Fixing Typos</t>
        </is>
      </c>
      <c r="B588" s="475">
        <f>HYPERLINK("http://codeforces.com/contest/363/problem/C","CF363-D2-C")</f>
        <v/>
      </c>
      <c r="C588" s="418" t="n"/>
      <c r="D588" s="418" t="n"/>
      <c r="E588" s="418" t="n"/>
      <c r="F588" s="418" t="n"/>
      <c r="G588" s="418" t="n"/>
      <c r="H588" s="418" t="n"/>
      <c r="I588" s="404">
        <f>SUM(E588:H588)</f>
        <v/>
      </c>
      <c r="J588" s="418" t="n"/>
      <c r="K588" s="418" t="n"/>
      <c r="L588" s="418" t="n"/>
      <c r="M588" s="420" t="n"/>
      <c r="N588" s="488" t="inlineStr">
        <is>
          <t>greedy, impl</t>
        </is>
      </c>
      <c r="O588" s="488" t="n">
        <v>84</v>
      </c>
      <c r="P588" s="488" t="n">
        <v>3</v>
      </c>
    </row>
    <row r="589" ht="15.75" customHeight="1" s="279">
      <c r="A589" s="420" t="inlineStr">
        <is>
          <t>Photographer</t>
        </is>
      </c>
      <c r="B589" s="475">
        <f>HYPERLINK("http://codeforces.com/contest/203/problem/C","CF203-D2-C")</f>
        <v/>
      </c>
      <c r="C589" s="418" t="n"/>
      <c r="D589" s="418" t="n"/>
      <c r="E589" s="418" t="n"/>
      <c r="F589" s="418" t="n"/>
      <c r="G589" s="418" t="n"/>
      <c r="H589" s="418" t="n"/>
      <c r="I589" s="404">
        <f>SUM(E589:H589)</f>
        <v/>
      </c>
      <c r="J589" s="418" t="n"/>
      <c r="K589" s="418" t="n"/>
      <c r="L589" s="418" t="n"/>
      <c r="M589" s="420" t="n"/>
      <c r="N589" s="488" t="inlineStr">
        <is>
          <t>greedy, sorting</t>
        </is>
      </c>
      <c r="O589" s="488" t="n">
        <v>84</v>
      </c>
      <c r="P589" s="488" t="n">
        <v>3</v>
      </c>
    </row>
    <row r="590" ht="15.75" customHeight="1" s="279">
      <c r="A590" s="420" t="inlineStr">
        <is>
          <t>Booking System</t>
        </is>
      </c>
      <c r="B590" s="475">
        <f>HYPERLINK("http://codeforces.com/contest/416/problem/C","CF416-D2-C")</f>
        <v/>
      </c>
      <c r="C590" s="418" t="n"/>
      <c r="D590" s="418" t="n"/>
      <c r="E590" s="418" t="n"/>
      <c r="F590" s="418" t="n"/>
      <c r="G590" s="418" t="n"/>
      <c r="H590" s="418" t="n"/>
      <c r="I590" s="404">
        <f>SUM(E590:H590)</f>
        <v/>
      </c>
      <c r="J590" s="404" t="n"/>
      <c r="K590" s="404" t="n"/>
      <c r="L590" s="418" t="n"/>
      <c r="M590" s="420" t="n"/>
      <c r="N590" s="488" t="inlineStr">
        <is>
          <t>greedy, sorting or dp</t>
        </is>
      </c>
      <c r="O590" s="488" t="n">
        <v>84</v>
      </c>
      <c r="P590" s="488" t="n">
        <v>3.5</v>
      </c>
      <c r="Q590" s="297" t="inlineStr">
        <is>
          <t>p3</t>
        </is>
      </c>
    </row>
    <row r="591" ht="15.75" customHeight="1" s="279">
      <c r="A591" s="420" t="inlineStr">
        <is>
          <t>Treasure Hunt</t>
        </is>
      </c>
      <c r="B591" s="475">
        <f>HYPERLINK("http://codeforces.com/contest/979/problem/B","CF979-D2-B")</f>
        <v/>
      </c>
      <c r="C591" s="418" t="n"/>
      <c r="D591" s="418" t="n"/>
      <c r="E591" s="418" t="n"/>
      <c r="F591" s="418" t="n"/>
      <c r="G591" s="418" t="n"/>
      <c r="H591" s="418" t="n"/>
      <c r="I591" s="404">
        <f>SUM(E591:H591)</f>
        <v/>
      </c>
      <c r="J591" s="418" t="n"/>
      <c r="K591" s="418" t="n"/>
      <c r="L591" s="418" t="n"/>
      <c r="M591" s="420" t="n"/>
      <c r="N591" s="488" t="inlineStr">
        <is>
          <t>greedy, [cases]</t>
        </is>
      </c>
      <c r="O591" s="488" t="n">
        <v>84</v>
      </c>
      <c r="P591" s="488" t="n">
        <v>3.5</v>
      </c>
      <c r="Q591" s="297" t="inlineStr">
        <is>
          <t>p1</t>
        </is>
      </c>
    </row>
    <row r="592" ht="15.75" customHeight="1" s="279">
      <c r="A592" s="420" t="inlineStr">
        <is>
          <t>Assemble</t>
        </is>
      </c>
      <c r="B592" s="475">
        <f>HYPERLINK("https://uva.onlinejudge.org/index.php?option=onlinejudge&amp;page=show_problem&amp;problem=3276","UVA 12124")</f>
        <v/>
      </c>
      <c r="C592" s="418" t="n"/>
      <c r="D592" s="418" t="n"/>
      <c r="E592" s="418" t="n"/>
      <c r="F592" s="418" t="n"/>
      <c r="G592" s="418" t="n"/>
      <c r="H592" s="418" t="n"/>
      <c r="I592" s="404">
        <f>SUM(E592:H592)</f>
        <v/>
      </c>
      <c r="J592" s="404" t="n"/>
      <c r="K592" s="404" t="n"/>
      <c r="L592" s="418" t="n"/>
      <c r="M592" s="493">
        <f>HYPERLINK("https://github.com/mostafa-saad/MyCompetitiveProgramming/blob/master/UVA/UVA_12124.txt","Sol")</f>
        <v/>
      </c>
      <c r="N592" s="488" t="inlineStr">
        <is>
          <t>greedy, bf or binary search</t>
        </is>
      </c>
      <c r="O592" s="488" t="n">
        <v>84</v>
      </c>
      <c r="P592" s="488" t="n">
        <v>4</v>
      </c>
      <c r="Q592" s="304" t="n"/>
    </row>
    <row r="593" ht="15.75" customHeight="1" s="279">
      <c r="A593" s="420" t="n"/>
      <c r="B593" s="475">
        <f>HYPERLINK("https://www.codechef.com/problems/KSUM","CODECHEF KSUM")</f>
        <v/>
      </c>
      <c r="C593" s="418" t="n"/>
      <c r="D593" s="418" t="n"/>
      <c r="E593" s="418" t="n"/>
      <c r="F593" s="418" t="n"/>
      <c r="G593" s="418" t="n"/>
      <c r="H593" s="418" t="n"/>
      <c r="I593" s="404">
        <f>SUM(E593:H593)</f>
        <v/>
      </c>
      <c r="J593" s="418" t="n"/>
      <c r="K593" s="418" t="n"/>
      <c r="L593" s="418" t="n"/>
      <c r="M593" s="421" t="n"/>
      <c r="N593" s="488" t="inlineStr">
        <is>
          <t>greedy, sets, finding max k subarrays</t>
        </is>
      </c>
      <c r="O593" s="488" t="n">
        <v>84</v>
      </c>
      <c r="P593" s="488" t="n">
        <v>4</v>
      </c>
      <c r="Q593" s="297" t="inlineStr">
        <is>
          <t>p3</t>
        </is>
      </c>
    </row>
    <row r="594" ht="15.75" customHeight="1" s="279">
      <c r="A594" s="420" t="n"/>
      <c r="B594" s="475">
        <f>HYPERLINK("https://codeforces.com/contest/1064/problem/C","CF1064-D2-C")</f>
        <v/>
      </c>
      <c r="C594" s="418" t="n"/>
      <c r="D594" s="418" t="n"/>
      <c r="E594" s="418" t="n"/>
      <c r="F594" s="418" t="n"/>
      <c r="G594" s="418" t="n"/>
      <c r="H594" s="418" t="n"/>
      <c r="I594" s="404">
        <f>SUM(E594:H594)</f>
        <v/>
      </c>
      <c r="J594" s="418" t="n"/>
      <c r="K594" s="418" t="n"/>
      <c r="L594" s="418" t="n"/>
      <c r="M594" s="420" t="n"/>
      <c r="N594" s="488" t="inlineStr">
        <is>
          <t>greedy, palindromes</t>
        </is>
      </c>
      <c r="O594" s="488" t="n">
        <v>84</v>
      </c>
      <c r="P594" s="488" t="n">
        <v>4</v>
      </c>
      <c r="Q594" s="297" t="inlineStr">
        <is>
          <t>p3</t>
        </is>
      </c>
    </row>
    <row r="595" ht="15.75" customHeight="1" s="279">
      <c r="A595" s="420" t="n"/>
      <c r="B595" s="475">
        <f>HYPERLINK("http://codeforces.com/contest/534/problem/D","CF534-D2-D")</f>
        <v/>
      </c>
      <c r="C595" s="418" t="n"/>
      <c r="D595" s="418" t="n"/>
      <c r="E595" s="418" t="n"/>
      <c r="F595" s="418" t="n"/>
      <c r="G595" s="418" t="n"/>
      <c r="H595" s="418" t="n"/>
      <c r="I595" s="404">
        <f>SUM(E595:H595)</f>
        <v/>
      </c>
      <c r="J595" s="418" t="n"/>
      <c r="K595" s="418" t="n"/>
      <c r="L595" s="418" t="n"/>
      <c r="M595" s="420" t="n"/>
      <c r="N595" s="488" t="inlineStr">
        <is>
          <t>greedy, set or grid compress</t>
        </is>
      </c>
      <c r="O595" s="488" t="n">
        <v>84</v>
      </c>
      <c r="P595" s="488" t="n">
        <v>4</v>
      </c>
      <c r="Q595" s="297" t="inlineStr">
        <is>
          <t>p2</t>
        </is>
      </c>
    </row>
    <row r="596" ht="15.75" customHeight="1" s="279">
      <c r="A596" s="420" t="n"/>
      <c r="B596" s="475">
        <f>HYPERLINK("http://codeforces.com/contest/1065/problem/C","CF1065-D2-C")</f>
        <v/>
      </c>
      <c r="C596" s="418" t="n"/>
      <c r="D596" s="418" t="n"/>
      <c r="E596" s="418" t="n"/>
      <c r="F596" s="418" t="n"/>
      <c r="G596" s="418" t="n"/>
      <c r="H596" s="418" t="n"/>
      <c r="I596" s="404">
        <f>SUM(E596:H596)</f>
        <v/>
      </c>
      <c r="J596" s="404" t="n"/>
      <c r="K596" s="404" t="n"/>
      <c r="L596" s="418" t="n"/>
      <c r="M596" s="420" t="n"/>
      <c r="N596" s="488" t="inlineStr">
        <is>
          <t>greedy</t>
        </is>
      </c>
      <c r="O596" s="488" t="n">
        <v>84</v>
      </c>
      <c r="P596" s="488" t="n">
        <v>4</v>
      </c>
      <c r="Q596" s="297" t="inlineStr">
        <is>
          <t>p2</t>
        </is>
      </c>
    </row>
    <row r="597" ht="15.75" customHeight="1" s="279">
      <c r="A597" s="420" t="n"/>
      <c r="B597" s="475">
        <f>HYPERLINK("http://codeforces.com/contest/445/problem/C","CF445-D2-C")</f>
        <v/>
      </c>
      <c r="C597" s="418" t="n"/>
      <c r="D597" s="418" t="n"/>
      <c r="E597" s="418" t="n"/>
      <c r="F597" s="418" t="n"/>
      <c r="G597" s="418" t="n"/>
      <c r="H597" s="418" t="n"/>
      <c r="I597" s="404">
        <f>SUM(E597:H597)</f>
        <v/>
      </c>
      <c r="J597" s="404" t="n"/>
      <c r="K597" s="404" t="n"/>
      <c r="L597" s="418" t="n"/>
      <c r="M597" s="420" t="n"/>
      <c r="N597" s="488" t="inlineStr">
        <is>
          <t>greedy</t>
        </is>
      </c>
      <c r="O597" s="488" t="n">
        <v>84</v>
      </c>
      <c r="P597" s="488" t="n">
        <v>4</v>
      </c>
      <c r="Q597" s="297" t="inlineStr">
        <is>
          <t>p2</t>
        </is>
      </c>
    </row>
    <row r="598" ht="15.75" customHeight="1" s="279">
      <c r="A598" s="420" t="inlineStr">
        <is>
          <t>Geometric Progression</t>
        </is>
      </c>
      <c r="B598" s="475">
        <f>HYPERLINK("http://codeforces.com/contest/567/problem/C","CF567-D2-C")</f>
        <v/>
      </c>
      <c r="C598" s="418" t="n"/>
      <c r="D598" s="418" t="n"/>
      <c r="E598" s="418" t="n"/>
      <c r="F598" s="418" t="n"/>
      <c r="G598" s="418" t="n"/>
      <c r="H598" s="418" t="n"/>
      <c r="I598" s="404">
        <f>SUM(E598:H598)</f>
        <v/>
      </c>
      <c r="J598" s="418" t="n"/>
      <c r="K598" s="418" t="n"/>
      <c r="L598" s="418" t="n"/>
      <c r="M598" s="420" t="n"/>
      <c r="N598" s="488" t="inlineStr">
        <is>
          <t>greedy</t>
        </is>
      </c>
      <c r="O598" s="488" t="n">
        <v>84</v>
      </c>
      <c r="P598" s="488" t="n">
        <v>4</v>
      </c>
      <c r="Q598" s="297" t="inlineStr">
        <is>
          <t>p2</t>
        </is>
      </c>
    </row>
    <row r="599" ht="15.75" customHeight="1" s="279">
      <c r="A599" s="420" t="n"/>
      <c r="B599" s="420" t="inlineStr">
        <is>
          <t>SRM481-D1-500</t>
        </is>
      </c>
      <c r="C599" s="418" t="n"/>
      <c r="D599" s="418" t="n"/>
      <c r="E599" s="418" t="n"/>
      <c r="F599" s="418" t="n"/>
      <c r="G599" s="418" t="n"/>
      <c r="H599" s="418" t="n"/>
      <c r="I599" s="404">
        <f>SUM(E599:H599)</f>
        <v/>
      </c>
      <c r="J599" s="418" t="n"/>
      <c r="K599" s="418" t="n"/>
      <c r="L599" s="418" t="n"/>
      <c r="M599" s="488" t="n"/>
      <c r="N599" s="488" t="inlineStr">
        <is>
          <t>greedy, math</t>
        </is>
      </c>
      <c r="O599" s="488" t="n">
        <v>84</v>
      </c>
      <c r="P599" s="488" t="n">
        <v>4</v>
      </c>
      <c r="Q599" s="297" t="inlineStr">
        <is>
          <t>p2</t>
        </is>
      </c>
    </row>
    <row r="600" ht="15.75" customHeight="1" s="279">
      <c r="A600" s="420" t="inlineStr">
        <is>
          <t>Team</t>
        </is>
      </c>
      <c r="B600" s="475">
        <f>HYPERLINK("http://codeforces.com/contest/401/problem/C","CF401-D2-C")</f>
        <v/>
      </c>
      <c r="C600" s="418" t="n"/>
      <c r="D600" s="418" t="n"/>
      <c r="E600" s="418" t="n"/>
      <c r="F600" s="418" t="n"/>
      <c r="G600" s="418" t="n"/>
      <c r="H600" s="418" t="n"/>
      <c r="I600" s="404">
        <f>SUM(E600:H600)</f>
        <v/>
      </c>
      <c r="J600" s="418" t="n"/>
      <c r="K600" s="418" t="n"/>
      <c r="L600" s="418" t="n"/>
      <c r="M600" s="420" t="n"/>
      <c r="N600" s="488" t="inlineStr">
        <is>
          <t>greedy, constructive</t>
        </is>
      </c>
      <c r="O600" s="488" t="n">
        <v>84</v>
      </c>
      <c r="P600" s="488" t="n">
        <v>4</v>
      </c>
    </row>
    <row r="601" ht="15.75" customHeight="1" s="279">
      <c r="A601" s="420" t="inlineStr">
        <is>
          <t>Drazil and Factorial</t>
        </is>
      </c>
      <c r="B601" s="475">
        <f>HYPERLINK("http://codeforces.com/contest/515/problem/C","CF515-D2-C")</f>
        <v/>
      </c>
      <c r="C601" s="418" t="n"/>
      <c r="D601" s="418" t="n"/>
      <c r="E601" s="418" t="n"/>
      <c r="F601" s="418" t="n"/>
      <c r="G601" s="418" t="n"/>
      <c r="H601" s="418" t="n"/>
      <c r="I601" s="404">
        <f>SUM(E601:H601)</f>
        <v/>
      </c>
      <c r="J601" s="404" t="n"/>
      <c r="K601" s="404" t="n"/>
      <c r="L601" s="418" t="n"/>
      <c r="M601" s="475">
        <f>HYPERLINK("https://www.youtube.com/watch?v=QEh0ugyYPUw","Video Solution - Dr Mostafa Saad")</f>
        <v/>
      </c>
      <c r="N601" s="488" t="inlineStr">
        <is>
          <t>greedy, math</t>
        </is>
      </c>
      <c r="O601" s="488" t="n">
        <v>84</v>
      </c>
      <c r="P601" s="488" t="n">
        <v>4</v>
      </c>
    </row>
    <row r="602" ht="15.75" customHeight="1" s="279">
      <c r="A602" s="420" t="inlineStr">
        <is>
          <t>Hiring Staff</t>
        </is>
      </c>
      <c r="B602" s="475">
        <f>HYPERLINK("http://codeforces.com/contest/216/problem/C","CF216-D2-C")</f>
        <v/>
      </c>
      <c r="C602" s="418" t="n"/>
      <c r="D602" s="418" t="n"/>
      <c r="E602" s="418" t="n"/>
      <c r="F602" s="418" t="n"/>
      <c r="G602" s="418" t="n"/>
      <c r="H602" s="418" t="n"/>
      <c r="I602" s="404">
        <f>SUM(E602:H602)</f>
        <v/>
      </c>
      <c r="J602" s="404" t="n"/>
      <c r="K602" s="404" t="n"/>
      <c r="L602" s="418" t="n"/>
      <c r="M602" s="420" t="n"/>
      <c r="N602" s="488" t="inlineStr">
        <is>
          <t>greedy</t>
        </is>
      </c>
      <c r="O602" s="488" t="n">
        <v>84</v>
      </c>
      <c r="P602" s="488" t="n">
        <v>4</v>
      </c>
    </row>
    <row r="603" ht="15.75" customHeight="1" s="279">
      <c r="A603" s="420" t="inlineStr">
        <is>
          <t>Star sky</t>
        </is>
      </c>
      <c r="B603" s="475">
        <f>HYPERLINK("http://codeforces.com/contest/835/problem/C","CF835-D2-C")</f>
        <v/>
      </c>
      <c r="C603" s="418" t="n"/>
      <c r="D603" s="418" t="n"/>
      <c r="E603" s="418" t="n"/>
      <c r="F603" s="418" t="n"/>
      <c r="G603" s="418" t="n"/>
      <c r="H603" s="418" t="n"/>
      <c r="I603" s="404">
        <f>SUM(E603:H603)</f>
        <v/>
      </c>
      <c r="J603" s="404" t="n"/>
      <c r="K603" s="404" t="n"/>
      <c r="L603" s="418" t="n"/>
      <c r="M603" s="475">
        <f>HYPERLINK("https://www.youtube.com/watch?v=McKM0CgVLUM","Video Solution - Solver to be (Java)")</f>
        <v/>
      </c>
      <c r="N603" s="488" t="inlineStr">
        <is>
          <t>greedy, prefix sum 2d</t>
        </is>
      </c>
      <c r="O603" s="488" t="n">
        <v>84</v>
      </c>
      <c r="P603" s="488" t="n">
        <v>4</v>
      </c>
    </row>
    <row r="604" ht="15.75" customHeight="1" s="279">
      <c r="A604" s="420" t="inlineStr">
        <is>
          <t>Vanya and Exams</t>
        </is>
      </c>
      <c r="B604" s="475">
        <f>HYPERLINK("http://codeforces.com/contest/492/problem/C","CF492-D2-C")</f>
        <v/>
      </c>
      <c r="C604" s="418" t="n"/>
      <c r="D604" s="418" t="n"/>
      <c r="E604" s="418" t="n"/>
      <c r="F604" s="418" t="n"/>
      <c r="G604" s="418" t="n"/>
      <c r="H604" s="418" t="n"/>
      <c r="I604" s="404">
        <f>SUM(E604:H604)</f>
        <v/>
      </c>
      <c r="J604" s="404" t="n"/>
      <c r="K604" s="404" t="n"/>
      <c r="L604" s="418" t="n"/>
      <c r="M604" s="420" t="n"/>
      <c r="N604" s="488" t="inlineStr">
        <is>
          <t>greedy, sorting</t>
        </is>
      </c>
      <c r="O604" s="488" t="n">
        <v>84</v>
      </c>
      <c r="P604" s="488" t="n">
        <v>4</v>
      </c>
    </row>
    <row r="605" ht="15.75" customHeight="1" s="279">
      <c r="A605" s="420" t="n"/>
      <c r="B605" s="421" t="inlineStr">
        <is>
          <t>ZOJ 1200</t>
        </is>
      </c>
      <c r="C605" s="418" t="n"/>
      <c r="D605" s="418" t="n"/>
      <c r="E605" s="418" t="n"/>
      <c r="F605" s="418" t="n"/>
      <c r="G605" s="418" t="n"/>
      <c r="H605" s="418" t="n"/>
      <c r="I605" s="404">
        <f>SUM(E605:H605)</f>
        <v/>
      </c>
      <c r="J605" s="404" t="n"/>
      <c r="K605" s="404" t="n"/>
      <c r="L605" s="418" t="n"/>
      <c r="M605" s="421" t="inlineStr">
        <is>
          <t>Sol</t>
        </is>
      </c>
      <c r="N605" s="488" t="inlineStr">
        <is>
          <t>greedy, simulation, priority queue</t>
        </is>
      </c>
      <c r="O605" s="488" t="n">
        <v>84</v>
      </c>
      <c r="P605" s="488" t="n">
        <v>4.5</v>
      </c>
      <c r="Q605" s="297" t="inlineStr">
        <is>
          <t>p3</t>
        </is>
      </c>
    </row>
    <row r="606" ht="15.75" customHeight="1" s="279">
      <c r="A606" s="420" t="n"/>
      <c r="B606" s="475">
        <f>HYPERLINK("http://codeforces.com/contest/729/problem/D","CF729-D12-D")</f>
        <v/>
      </c>
      <c r="C606" s="418" t="n"/>
      <c r="D606" s="418" t="n"/>
      <c r="E606" s="418" t="n"/>
      <c r="F606" s="418" t="n"/>
      <c r="G606" s="418" t="n"/>
      <c r="H606" s="418" t="n"/>
      <c r="I606" s="404">
        <f>SUM(E606:H606)</f>
        <v/>
      </c>
      <c r="J606" s="418" t="n"/>
      <c r="K606" s="418" t="n"/>
      <c r="L606" s="418" t="n"/>
      <c r="M606" s="420" t="n"/>
      <c r="N606" s="488" t="inlineStr">
        <is>
          <t>greedy, [pigeonhole principle]</t>
        </is>
      </c>
      <c r="O606" s="488" t="n">
        <v>84</v>
      </c>
      <c r="P606" s="488" t="n">
        <v>4.5</v>
      </c>
      <c r="Q606" s="297" t="inlineStr">
        <is>
          <t>p2</t>
        </is>
      </c>
    </row>
    <row r="607" ht="15.75" customHeight="1" s="279">
      <c r="A607" s="420" t="inlineStr">
        <is>
          <t>A and B and Interesting Substrings</t>
        </is>
      </c>
      <c r="B607" s="475">
        <f>HYPERLINK("http://codeforces.com/contest/519/problem/D","CF519-D2-D")</f>
        <v/>
      </c>
      <c r="C607" s="418" t="n"/>
      <c r="D607" s="418" t="n"/>
      <c r="E607" s="418" t="n"/>
      <c r="F607" s="418" t="n"/>
      <c r="G607" s="418" t="n"/>
      <c r="H607" s="418" t="n"/>
      <c r="I607" s="404">
        <f>SUM(E607:H607)</f>
        <v/>
      </c>
      <c r="J607" s="418" t="n"/>
      <c r="K607" s="418" t="n"/>
      <c r="L607" s="418" t="n"/>
      <c r="M607" s="420" t="n"/>
      <c r="N607" s="488" t="inlineStr">
        <is>
          <t>greedy, datastructures or dp</t>
        </is>
      </c>
      <c r="O607" s="488" t="n">
        <v>84</v>
      </c>
      <c r="P607" s="488" t="n">
        <v>4.5</v>
      </c>
      <c r="Q607" s="297" t="inlineStr">
        <is>
          <t>p2</t>
        </is>
      </c>
    </row>
    <row r="608" ht="15.75" customHeight="1" s="279">
      <c r="A608" s="420" t="inlineStr">
        <is>
          <t>Palindrome Transformation</t>
        </is>
      </c>
      <c r="B608" s="475">
        <f>HYPERLINK("http://codeforces.com/contest/486/problem/C","CF486-D2-C")</f>
        <v/>
      </c>
      <c r="C608" s="418" t="n"/>
      <c r="D608" s="418" t="n"/>
      <c r="E608" s="418" t="n"/>
      <c r="F608" s="418" t="n"/>
      <c r="G608" s="418" t="n"/>
      <c r="H608" s="418" t="n"/>
      <c r="I608" s="404">
        <f>SUM(E608:H608)</f>
        <v/>
      </c>
      <c r="J608" s="404" t="n"/>
      <c r="K608" s="404" t="n"/>
      <c r="L608" s="418" t="n"/>
      <c r="M608" s="488" t="n"/>
      <c r="N608" s="488" t="inlineStr">
        <is>
          <t>greedy, impl, [reverse thinking]</t>
        </is>
      </c>
      <c r="O608" s="488" t="n">
        <v>84</v>
      </c>
      <c r="P608" s="488" t="n">
        <v>4.5</v>
      </c>
      <c r="Q608" s="297" t="inlineStr">
        <is>
          <t>p2</t>
        </is>
      </c>
    </row>
    <row r="609" ht="15.75" customHeight="1" s="279">
      <c r="A609" s="420" t="inlineStr">
        <is>
          <t>Marina and Vasya</t>
        </is>
      </c>
      <c r="B609" s="475">
        <f>HYPERLINK("http://codeforces.com/contest/584/problem/C","CF584-D2-C")</f>
        <v/>
      </c>
      <c r="C609" s="418" t="n"/>
      <c r="D609" s="418" t="n"/>
      <c r="E609" s="418" t="n"/>
      <c r="F609" s="418" t="n"/>
      <c r="G609" s="418" t="n"/>
      <c r="H609" s="418" t="n"/>
      <c r="I609" s="404">
        <f>SUM(E609:H609)</f>
        <v/>
      </c>
      <c r="J609" s="404" t="n"/>
      <c r="K609" s="404" t="n"/>
      <c r="L609" s="418" t="n"/>
      <c r="M609" s="420" t="n"/>
      <c r="N609" s="488" t="inlineStr">
        <is>
          <t>greedy, constructive, [reverse thinking]</t>
        </is>
      </c>
      <c r="O609" s="488" t="n">
        <v>84</v>
      </c>
      <c r="P609" s="488" t="n">
        <v>4.5</v>
      </c>
      <c r="Q609" s="297" t="inlineStr">
        <is>
          <t>p1</t>
        </is>
      </c>
    </row>
    <row r="610" ht="15.75" customHeight="1" s="279">
      <c r="A610" s="420" t="inlineStr">
        <is>
          <t>Tennis Championship</t>
        </is>
      </c>
      <c r="B610" s="475">
        <f>HYPERLINK("http://codeforces.com/contest/735/problem/C","CF735-D2-C")</f>
        <v/>
      </c>
      <c r="C610" s="418" t="n"/>
      <c r="D610" s="418" t="n"/>
      <c r="E610" s="418" t="n"/>
      <c r="F610" s="418" t="n"/>
      <c r="G610" s="418" t="n"/>
      <c r="H610" s="418" t="n"/>
      <c r="I610" s="404">
        <f>SUM(E610:H610)</f>
        <v/>
      </c>
      <c r="J610" s="404" t="n"/>
      <c r="K610" s="404" t="n"/>
      <c r="L610" s="418" t="n"/>
      <c r="M610" s="420" t="n"/>
      <c r="N610" s="488" t="inlineStr">
        <is>
          <t>greedy, math, [reverse thinking]</t>
        </is>
      </c>
      <c r="O610" s="488" t="n">
        <v>84</v>
      </c>
      <c r="P610" s="488" t="n">
        <v>4.5</v>
      </c>
      <c r="Q610" s="297" t="inlineStr">
        <is>
          <t>p1</t>
        </is>
      </c>
    </row>
    <row r="611" ht="15.75" customHeight="1" s="279">
      <c r="A611" s="420" t="inlineStr">
        <is>
          <t>Anya and Ghosts</t>
        </is>
      </c>
      <c r="B611" s="475">
        <f>HYPERLINK("http://codeforces.com/contest/508/problem/C","CF508-D2-C")</f>
        <v/>
      </c>
      <c r="C611" s="418" t="n"/>
      <c r="D611" s="418" t="n"/>
      <c r="E611" s="418" t="n"/>
      <c r="F611" s="418" t="n"/>
      <c r="G611" s="418" t="n"/>
      <c r="H611" s="418" t="n"/>
      <c r="I611" s="404">
        <f>SUM(E611:H611)</f>
        <v/>
      </c>
      <c r="J611" s="418" t="n"/>
      <c r="K611" s="418" t="n"/>
      <c r="L611" s="512" t="n"/>
      <c r="M611" s="488" t="n"/>
      <c r="N611" s="488" t="inlineStr">
        <is>
          <t>greedy</t>
        </is>
      </c>
      <c r="O611" s="488" t="n">
        <v>84</v>
      </c>
      <c r="P611" s="488" t="n">
        <v>4.5</v>
      </c>
    </row>
    <row r="612" ht="23.25" customHeight="1" s="279">
      <c r="A612" s="420" t="inlineStr">
        <is>
          <t>Terse princess</t>
        </is>
      </c>
      <c r="B612" s="475">
        <f>HYPERLINK("http://codeforces.com/contest/148/problem/C","CF148-D2-C")</f>
        <v/>
      </c>
      <c r="C612" s="418" t="n"/>
      <c r="D612" s="418" t="n"/>
      <c r="E612" s="418" t="n"/>
      <c r="F612" s="418" t="n"/>
      <c r="G612" s="418" t="n"/>
      <c r="H612" s="418" t="n"/>
      <c r="I612" s="404">
        <f>SUM(E612:H612)</f>
        <v/>
      </c>
      <c r="J612" s="404" t="n"/>
      <c r="K612" s="404" t="n"/>
      <c r="L612" s="418" t="n"/>
      <c r="M612" s="475">
        <f>HYPERLINK("https://www.youtube.com/watch?v=BX2HhPefv6g","Video Solution - Eng Mohamed Nasser")</f>
        <v/>
      </c>
      <c r="N612" s="488" t="inlineStr">
        <is>
          <t>greedy, constructive</t>
        </is>
      </c>
      <c r="O612" s="488" t="n">
        <v>84</v>
      </c>
      <c r="P612" s="488" t="n">
        <v>4.5</v>
      </c>
    </row>
    <row r="613" ht="15.75" customHeight="1" s="279">
      <c r="A613" s="420" t="inlineStr">
        <is>
          <t>Lucky Permutation</t>
        </is>
      </c>
      <c r="B613" s="475">
        <f>HYPERLINK("http://codeforces.com/contest/287/problem/C","CF287-D2-C")</f>
        <v/>
      </c>
      <c r="C613" s="418" t="n"/>
      <c r="D613" s="418" t="n"/>
      <c r="E613" s="418" t="n"/>
      <c r="F613" s="418" t="n"/>
      <c r="G613" s="418" t="n"/>
      <c r="H613" s="418" t="n"/>
      <c r="I613" s="404">
        <f>SUM(E613:H613)</f>
        <v/>
      </c>
      <c r="J613" s="418" t="n"/>
      <c r="K613" s="418" t="n"/>
      <c r="L613" s="418" t="n"/>
      <c r="M613" s="420" t="n"/>
      <c r="N613" s="488" t="inlineStr">
        <is>
          <t>greedy, constructive</t>
        </is>
      </c>
      <c r="O613" s="488" t="n">
        <v>84</v>
      </c>
      <c r="P613" s="488" t="n">
        <v>4.5</v>
      </c>
    </row>
    <row r="614" ht="15.75" customHeight="1" s="279">
      <c r="A614" s="420" t="inlineStr">
        <is>
          <t>Balls and Boxes</t>
        </is>
      </c>
      <c r="B614" s="475">
        <f>HYPERLINK("http://codeforces.com/contest/260/problem/C","CF260-D2-C")</f>
        <v/>
      </c>
      <c r="C614" s="418" t="n"/>
      <c r="D614" s="418" t="n"/>
      <c r="E614" s="418" t="n"/>
      <c r="F614" s="418" t="n"/>
      <c r="G614" s="418" t="n"/>
      <c r="H614" s="418" t="n"/>
      <c r="I614" s="404">
        <f>SUM(E614:H614)</f>
        <v/>
      </c>
      <c r="J614" s="404" t="n"/>
      <c r="K614" s="404" t="n"/>
      <c r="L614" s="418" t="n"/>
      <c r="M614" s="475">
        <f>HYPERLINK("https://www.youtube.com/watch?v=W3Zp3yqNsOs","Video Solution - Dr Mostafa Saad")</f>
        <v/>
      </c>
      <c r="N614" s="488" t="inlineStr">
        <is>
          <t>greedy, impl</t>
        </is>
      </c>
      <c r="O614" s="488" t="n">
        <v>84</v>
      </c>
      <c r="P614" s="488" t="n">
        <v>4.5</v>
      </c>
    </row>
    <row r="615" ht="15.75" customHeight="1" s="279">
      <c r="A615" s="420" t="n"/>
      <c r="B615" s="475">
        <f>HYPERLINK("http://codeforces.com/contest/313/problem/C","CF313-D2-C")</f>
        <v/>
      </c>
      <c r="C615" s="418" t="n"/>
      <c r="D615" s="418" t="n"/>
      <c r="E615" s="418" t="n"/>
      <c r="F615" s="418" t="n"/>
      <c r="G615" s="418" t="n"/>
      <c r="H615" s="418" t="n"/>
      <c r="I615" s="404">
        <f>SUM(E615:H615)</f>
        <v/>
      </c>
      <c r="J615" s="404" t="n"/>
      <c r="K615" s="404" t="n"/>
      <c r="L615" s="418" t="n"/>
      <c r="M615" s="420" t="n"/>
      <c r="N615" s="488" t="inlineStr">
        <is>
          <t>greedy, constructive</t>
        </is>
      </c>
      <c r="O615" s="488" t="n">
        <v>84</v>
      </c>
      <c r="P615" s="488" t="n">
        <v>5</v>
      </c>
      <c r="Q615" s="304" t="n"/>
    </row>
    <row r="616" ht="15.75" customHeight="1" s="279">
      <c r="A616" s="420" t="inlineStr">
        <is>
          <t>Upgrading Array</t>
        </is>
      </c>
      <c r="B616" s="475">
        <f>HYPERLINK("http://codeforces.com/contest/402/problem/D","CF402-D2-D")</f>
        <v/>
      </c>
      <c r="C616" s="418" t="n"/>
      <c r="D616" s="418" t="n"/>
      <c r="E616" s="418" t="n"/>
      <c r="F616" s="418" t="n"/>
      <c r="G616" s="418" t="n"/>
      <c r="H616" s="418" t="n"/>
      <c r="I616" s="404">
        <f>SUM(E616:H616)</f>
        <v/>
      </c>
      <c r="J616" s="404" t="n"/>
      <c r="K616" s="404" t="n"/>
      <c r="L616" s="512" t="n"/>
      <c r="M616" s="420" t="n"/>
      <c r="N616" s="488" t="inlineStr">
        <is>
          <t>greedy or dp</t>
        </is>
      </c>
      <c r="O616" s="488" t="n">
        <v>84</v>
      </c>
      <c r="P616" s="488" t="n">
        <v>5</v>
      </c>
      <c r="Q616" s="304" t="n"/>
    </row>
    <row r="617" ht="15.75" customHeight="1" s="279">
      <c r="A617" s="420" t="n"/>
      <c r="B617" s="420" t="inlineStr">
        <is>
          <t>SRM456-D2-1000</t>
        </is>
      </c>
      <c r="C617" s="418" t="n"/>
      <c r="D617" s="418" t="n"/>
      <c r="E617" s="418" t="n"/>
      <c r="F617" s="418" t="n"/>
      <c r="G617" s="418" t="n"/>
      <c r="H617" s="418" t="n"/>
      <c r="I617" s="404">
        <f>SUM(E617:H617)</f>
        <v/>
      </c>
      <c r="J617" s="404" t="n"/>
      <c r="K617" s="404" t="n"/>
      <c r="L617" s="418" t="n"/>
      <c r="M617" s="488" t="n"/>
      <c r="N617" s="488" t="inlineStr">
        <is>
          <t>greedy, math, binary search</t>
        </is>
      </c>
      <c r="O617" s="488" t="n">
        <v>84</v>
      </c>
      <c r="P617" s="488" t="n">
        <v>5</v>
      </c>
      <c r="Q617" s="297" t="inlineStr">
        <is>
          <t>p3</t>
        </is>
      </c>
    </row>
    <row r="618" ht="15.75" customHeight="1" s="279">
      <c r="A618" s="420" t="inlineStr">
        <is>
          <t>End of Exams</t>
        </is>
      </c>
      <c r="B618" s="475">
        <f>HYPERLINK("http://codeforces.com/contest/94/problem/D","CF94-D2-D")</f>
        <v/>
      </c>
      <c r="C618" s="418" t="n"/>
      <c r="D618" s="418" t="n"/>
      <c r="E618" s="418" t="n"/>
      <c r="F618" s="418" t="n"/>
      <c r="G618" s="418" t="n"/>
      <c r="H618" s="418" t="n"/>
      <c r="I618" s="404">
        <f>SUM(E618:H618)</f>
        <v/>
      </c>
      <c r="J618" s="404" t="n"/>
      <c r="K618" s="404" t="n"/>
      <c r="L618" s="418" t="n"/>
      <c r="M618" s="488" t="n"/>
      <c r="N618" s="488" t="inlineStr">
        <is>
          <t>greedy, math, impl</t>
        </is>
      </c>
      <c r="O618" s="488" t="n">
        <v>84</v>
      </c>
      <c r="P618" s="488" t="n">
        <v>5</v>
      </c>
      <c r="Q618" s="297" t="inlineStr">
        <is>
          <t>p3</t>
        </is>
      </c>
    </row>
    <row r="619" ht="15.75" customHeight="1" s="279">
      <c r="A619" s="420" t="inlineStr">
        <is>
          <t>Queue</t>
        </is>
      </c>
      <c r="B619" s="475">
        <f>HYPERLINK("http://codeforces.com/contest/141/problem/C","CF141-D2-C")</f>
        <v/>
      </c>
      <c r="C619" s="418" t="n"/>
      <c r="D619" s="418" t="n"/>
      <c r="E619" s="418" t="n"/>
      <c r="F619" s="418" t="n"/>
      <c r="G619" s="418" t="n"/>
      <c r="H619" s="418" t="n"/>
      <c r="I619" s="404">
        <f>SUM(E619:H619)</f>
        <v/>
      </c>
      <c r="J619" s="404" t="n"/>
      <c r="K619" s="404" t="n"/>
      <c r="L619" s="418" t="n"/>
      <c r="M619" s="420" t="n"/>
      <c r="N619" s="488" t="inlineStr">
        <is>
          <t>greedy, constructive</t>
        </is>
      </c>
      <c r="O619" s="488" t="n">
        <v>84</v>
      </c>
      <c r="P619" s="488" t="n">
        <v>5</v>
      </c>
      <c r="Q619" s="297" t="inlineStr">
        <is>
          <t>p2</t>
        </is>
      </c>
    </row>
    <row r="620" ht="15.75" customHeight="1" s="279">
      <c r="A620" s="420" t="n"/>
      <c r="B620" s="475">
        <f>HYPERLINK("http://codeforces.com/problemsets/acmsguru/problem/99999/321","SGU 321")</f>
        <v/>
      </c>
      <c r="C620" s="418" t="n"/>
      <c r="D620" s="418" t="n"/>
      <c r="E620" s="418" t="n"/>
      <c r="F620" s="418" t="n"/>
      <c r="G620" s="418" t="n"/>
      <c r="H620" s="418" t="n"/>
      <c r="I620" s="404">
        <f>SUM(E620:H620)</f>
        <v/>
      </c>
      <c r="J620" s="404" t="n"/>
      <c r="K620" s="404" t="n"/>
      <c r="L620" s="418" t="n"/>
      <c r="M620" s="475">
        <f>HYPERLINK("https://github.com/mostafa-saad/MyCompetitiveProgramming/blob/master/SGU/SGU_321.txt","Sol")</f>
        <v/>
      </c>
      <c r="N620" s="488" t="inlineStr">
        <is>
          <t>greedy, dfs , tree</t>
        </is>
      </c>
      <c r="O620" s="488" t="n">
        <v>84</v>
      </c>
      <c r="P620" s="488" t="n">
        <v>5</v>
      </c>
      <c r="Q620" s="297" t="inlineStr">
        <is>
          <t>p2</t>
        </is>
      </c>
    </row>
    <row r="621" ht="15.75" customHeight="1" s="279">
      <c r="A621" s="420" t="inlineStr">
        <is>
          <t>Dispute</t>
        </is>
      </c>
      <c r="B621" s="475">
        <f>HYPERLINK("http://codeforces.com/contest/242/problem/D","CF242-D2-D")</f>
        <v/>
      </c>
      <c r="C621" s="418" t="n"/>
      <c r="D621" s="418" t="n"/>
      <c r="E621" s="418" t="n"/>
      <c r="F621" s="418" t="n"/>
      <c r="G621" s="418" t="n"/>
      <c r="H621" s="418" t="n"/>
      <c r="I621" s="404">
        <f>SUM(E621:H621)</f>
        <v/>
      </c>
      <c r="J621" s="418" t="n"/>
      <c r="K621" s="418" t="n"/>
      <c r="L621" s="418" t="n"/>
      <c r="M621" s="420" t="n"/>
      <c r="N621" s="488" t="inlineStr">
        <is>
          <t>greedy, dfs or bfs, greedy</t>
        </is>
      </c>
      <c r="O621" s="488" t="n">
        <v>84</v>
      </c>
      <c r="P621" s="488" t="n">
        <v>5</v>
      </c>
      <c r="Q621" s="297" t="inlineStr">
        <is>
          <t>p2</t>
        </is>
      </c>
    </row>
    <row r="622" ht="15.75" customHeight="1" s="279">
      <c r="A622" s="420" t="n"/>
      <c r="B622" s="420" t="inlineStr">
        <is>
          <t>SRM292-D1-500</t>
        </is>
      </c>
      <c r="C622" s="418" t="n"/>
      <c r="D622" s="418" t="n"/>
      <c r="E622" s="418" t="n"/>
      <c r="F622" s="418" t="n"/>
      <c r="G622" s="418" t="n"/>
      <c r="H622" s="418" t="n"/>
      <c r="I622" s="404">
        <f>SUM(E622:H622)</f>
        <v/>
      </c>
      <c r="J622" s="404" t="n"/>
      <c r="K622" s="404" t="n"/>
      <c r="L622" s="418" t="n"/>
      <c r="M622" s="420" t="n"/>
      <c r="N622" s="488" t="inlineStr">
        <is>
          <t>greedy, graph</t>
        </is>
      </c>
      <c r="O622" s="488" t="n">
        <v>84</v>
      </c>
      <c r="P622" s="488" t="n">
        <v>5</v>
      </c>
      <c r="Q622" s="297" t="inlineStr">
        <is>
          <t>p2</t>
        </is>
      </c>
    </row>
    <row r="623" ht="15.75" customHeight="1" s="279">
      <c r="A623" s="420" t="n"/>
      <c r="B623" s="475">
        <f>HYPERLINK("http://codeforces.com/contest/1038/problem/D","CF1038-D2-D")</f>
        <v/>
      </c>
      <c r="C623" s="418" t="n"/>
      <c r="D623" s="418" t="n"/>
      <c r="E623" s="418" t="n"/>
      <c r="F623" s="418" t="n"/>
      <c r="G623" s="418" t="n"/>
      <c r="H623" s="418" t="n"/>
      <c r="I623" s="404">
        <f>SUM(E623:H623)</f>
        <v/>
      </c>
      <c r="J623" s="418" t="n"/>
      <c r="K623" s="418" t="n"/>
      <c r="L623" s="418" t="n"/>
      <c r="M623" s="420" t="n"/>
      <c r="N623" s="488" t="inlineStr">
        <is>
          <t>greedy, impl</t>
        </is>
      </c>
      <c r="O623" s="488" t="n">
        <v>84</v>
      </c>
      <c r="P623" s="488" t="n">
        <v>5</v>
      </c>
      <c r="Q623" s="297" t="inlineStr">
        <is>
          <t>p2</t>
        </is>
      </c>
    </row>
    <row r="624" ht="15.75" customHeight="1" s="279">
      <c r="A624" s="420" t="n"/>
      <c r="B624" s="420" t="inlineStr">
        <is>
          <t>UVA 12325</t>
        </is>
      </c>
      <c r="C624" s="418" t="n"/>
      <c r="D624" s="418" t="n"/>
      <c r="E624" s="418" t="n"/>
      <c r="F624" s="418" t="n"/>
      <c r="G624" s="418" t="n"/>
      <c r="H624" s="418" t="n"/>
      <c r="I624" s="404">
        <f>SUM(E624:H624)</f>
        <v/>
      </c>
      <c r="J624" s="418" t="n"/>
      <c r="K624" s="418" t="n"/>
      <c r="L624" s="418" t="n"/>
      <c r="M624" s="493">
        <f>HYPERLINK("https://github.com/yazanKabbany/CompetitiveProgramming/blob/master/UVA/UVA%2012325.cpp","Prove your Solution")</f>
        <v/>
      </c>
      <c r="N624" s="488" t="inlineStr">
        <is>
          <t>greedy, knapsack, math</t>
        </is>
      </c>
      <c r="O624" s="488" t="n">
        <v>84</v>
      </c>
      <c r="P624" s="488" t="n">
        <v>5</v>
      </c>
      <c r="Q624" s="297" t="inlineStr">
        <is>
          <t>p2</t>
        </is>
      </c>
    </row>
    <row r="625" ht="15.75" customHeight="1" s="279">
      <c r="A625" s="420" t="n"/>
      <c r="B625" s="420" t="inlineStr">
        <is>
          <t>SRM405-D2-1000</t>
        </is>
      </c>
      <c r="C625" s="418" t="n"/>
      <c r="D625" s="418" t="n"/>
      <c r="E625" s="418" t="n"/>
      <c r="F625" s="418" t="n"/>
      <c r="G625" s="418" t="n"/>
      <c r="H625" s="418" t="n"/>
      <c r="I625" s="404">
        <f>SUM(E625:H625)</f>
        <v/>
      </c>
      <c r="J625" s="404" t="n"/>
      <c r="K625" s="404" t="n"/>
      <c r="L625" s="418" t="n"/>
      <c r="M625" s="420" t="n"/>
      <c r="N625" s="488" t="inlineStr">
        <is>
          <t>greedy, math, strings</t>
        </is>
      </c>
      <c r="O625" s="488" t="n">
        <v>84</v>
      </c>
      <c r="P625" s="488" t="n">
        <v>5</v>
      </c>
      <c r="Q625" s="297" t="inlineStr">
        <is>
          <t>p2</t>
        </is>
      </c>
    </row>
    <row r="626" ht="30.75" customHeight="1" s="279">
      <c r="A626" s="420" t="inlineStr">
        <is>
          <t>Boring Partition</t>
        </is>
      </c>
      <c r="B626" s="475">
        <f>HYPERLINK("http://codeforces.com/contest/239/problem/D","CF239-D2-D")</f>
        <v/>
      </c>
      <c r="C626" s="418" t="n"/>
      <c r="D626" s="418" t="n"/>
      <c r="E626" s="418" t="n"/>
      <c r="F626" s="418" t="n"/>
      <c r="G626" s="418" t="n"/>
      <c r="H626" s="418" t="n"/>
      <c r="I626" s="404">
        <f>SUM(E626:H626)</f>
        <v/>
      </c>
      <c r="J626" s="404" t="n"/>
      <c r="K626" s="404" t="n"/>
      <c r="L626" s="512" t="n"/>
      <c r="M626" s="493">
        <f>HYPERLINK("https://github.com/MedoN11/CompetitiveProgramming/blob/master/CodeForces/CF239-D2-D.java","Sol. Find proof (See editorial comments)")</f>
        <v/>
      </c>
      <c r="N626" s="488" t="inlineStr">
        <is>
          <t>greedy, sortings</t>
        </is>
      </c>
      <c r="O626" s="488" t="n">
        <v>84</v>
      </c>
      <c r="P626" s="488" t="n">
        <v>5</v>
      </c>
      <c r="Q626" s="297" t="inlineStr">
        <is>
          <t>p2</t>
        </is>
      </c>
    </row>
    <row r="627" ht="15.75" customHeight="1" s="279">
      <c r="A627" s="420" t="inlineStr">
        <is>
          <t>No to Palindromes!</t>
        </is>
      </c>
      <c r="B627" s="475">
        <f>HYPERLINK("http://codeforces.com/contest/465/problem/C","CF465-D2-C")</f>
        <v/>
      </c>
      <c r="C627" s="418" t="n"/>
      <c r="D627" s="418" t="n"/>
      <c r="E627" s="418" t="n"/>
      <c r="F627" s="418" t="n"/>
      <c r="G627" s="418" t="n"/>
      <c r="H627" s="418" t="n"/>
      <c r="I627" s="404">
        <f>SUM(E627:H627)</f>
        <v/>
      </c>
      <c r="J627" s="418" t="n"/>
      <c r="K627" s="418" t="n"/>
      <c r="L627" s="418" t="n"/>
      <c r="M627" s="420" t="n"/>
      <c r="N627" s="488" t="inlineStr">
        <is>
          <t>greedy or bf</t>
        </is>
      </c>
      <c r="O627" s="488" t="n">
        <v>84</v>
      </c>
      <c r="P627" s="488" t="n">
        <v>5</v>
      </c>
    </row>
    <row r="628" ht="15.75" customHeight="1" s="279">
      <c r="A628" s="420" t="n"/>
      <c r="B628" s="475">
        <f>HYPERLINK("http://codeforces.com/contest/709/problem/D","CF709-D2-D")</f>
        <v/>
      </c>
      <c r="C628" s="418" t="n"/>
      <c r="D628" s="418" t="n"/>
      <c r="E628" s="418" t="n"/>
      <c r="F628" s="418" t="n"/>
      <c r="G628" s="418" t="n"/>
      <c r="H628" s="418" t="n"/>
      <c r="I628" s="404">
        <f>SUM(E628:H628)</f>
        <v/>
      </c>
      <c r="J628" s="418" t="n"/>
      <c r="K628" s="418" t="n"/>
      <c r="L628" s="418" t="n"/>
      <c r="M628" s="488" t="n"/>
      <c r="N628" s="488" t="inlineStr">
        <is>
          <t>greedy, math or pattern or segment tree</t>
        </is>
      </c>
      <c r="O628" s="488" t="n">
        <v>84</v>
      </c>
      <c r="P628" s="488" t="n">
        <v>5.5</v>
      </c>
      <c r="Q628" s="297" t="inlineStr">
        <is>
          <t>p3</t>
        </is>
      </c>
    </row>
    <row r="629" ht="15.75" customHeight="1" s="279">
      <c r="A629" s="420" t="n"/>
      <c r="B629" s="475">
        <f>HYPERLINK("https://www.codechef.com/LTIME64B/problems/BJUDGE","CODECHEF BJUDGE")</f>
        <v/>
      </c>
      <c r="C629" s="418" t="n"/>
      <c r="D629" s="418" t="n"/>
      <c r="E629" s="418" t="n"/>
      <c r="F629" s="418" t="n"/>
      <c r="G629" s="418" t="n"/>
      <c r="H629" s="418" t="n"/>
      <c r="I629" s="404">
        <f>SUM(E629:H629)</f>
        <v/>
      </c>
      <c r="J629" s="404" t="n"/>
      <c r="K629" s="404" t="n"/>
      <c r="L629" s="512" t="n"/>
      <c r="M629" s="420" t="n"/>
      <c r="N629" s="488" t="inlineStr">
        <is>
          <t>greedy, constructive</t>
        </is>
      </c>
      <c r="O629" s="488" t="n">
        <v>84</v>
      </c>
      <c r="P629" s="488" t="n">
        <v>5.5</v>
      </c>
      <c r="Q629" s="297" t="inlineStr">
        <is>
          <t>p3</t>
        </is>
      </c>
    </row>
    <row r="630" ht="15.75" customHeight="1" s="279">
      <c r="A630" s="420" t="n"/>
      <c r="B630" s="475">
        <f>HYPERLINK("http://codeforces.com/contest/1023/problem/E","CF1023-D12-E")</f>
        <v/>
      </c>
      <c r="C630" s="418" t="n"/>
      <c r="D630" s="418" t="n"/>
      <c r="E630" s="418" t="n"/>
      <c r="F630" s="418" t="n"/>
      <c r="G630" s="418" t="n"/>
      <c r="H630" s="418" t="n"/>
      <c r="I630" s="404">
        <f>SUM(E630:H630)</f>
        <v/>
      </c>
      <c r="J630" s="404" t="n"/>
      <c r="K630" s="404" t="n"/>
      <c r="L630" s="418" t="n"/>
      <c r="M630" s="420" t="n"/>
      <c r="N630" s="488" t="inlineStr">
        <is>
          <t>greedy, interactive, constructive</t>
        </is>
      </c>
      <c r="O630" s="488" t="n">
        <v>84</v>
      </c>
      <c r="P630" s="488" t="n">
        <v>5.5</v>
      </c>
      <c r="Q630" s="297" t="inlineStr">
        <is>
          <t>p3</t>
        </is>
      </c>
    </row>
    <row r="631" ht="15.75" customHeight="1" s="279">
      <c r="A631" s="420" t="inlineStr">
        <is>
          <t>Russian Roulette</t>
        </is>
      </c>
      <c r="B631" s="475">
        <f>HYPERLINK("http://codeforces.com/contest/104/problem/D","CF104-D2-D")</f>
        <v/>
      </c>
      <c r="C631" s="418" t="n"/>
      <c r="D631" s="418" t="n"/>
      <c r="E631" s="418" t="n"/>
      <c r="F631" s="418" t="n"/>
      <c r="G631" s="418" t="n"/>
      <c r="H631" s="418" t="n"/>
      <c r="I631" s="404">
        <f>SUM(E631:H631)</f>
        <v/>
      </c>
      <c r="J631" s="404" t="n"/>
      <c r="K631" s="404" t="n"/>
      <c r="L631" s="418" t="n"/>
      <c r="M631" s="420" t="n"/>
      <c r="N631" s="488" t="inlineStr">
        <is>
          <t>greedy, math, adhoc</t>
        </is>
      </c>
      <c r="O631" s="488" t="n">
        <v>84</v>
      </c>
      <c r="P631" s="488" t="n">
        <v>5.5</v>
      </c>
      <c r="Q631" s="297" t="inlineStr">
        <is>
          <t>p3</t>
        </is>
      </c>
    </row>
    <row r="632" ht="15.75" customHeight="1" s="279">
      <c r="A632" s="420" t="n"/>
      <c r="B632" s="475">
        <f>HYPERLINK("http://codeforces.com/contest/1043/problem/E","CF1043-D12-E")</f>
        <v/>
      </c>
      <c r="C632" s="418" t="n"/>
      <c r="D632" s="418" t="n"/>
      <c r="E632" s="418" t="n"/>
      <c r="F632" s="418" t="n"/>
      <c r="G632" s="418" t="n"/>
      <c r="H632" s="418" t="n"/>
      <c r="I632" s="404">
        <f>SUM(E632:H632)</f>
        <v/>
      </c>
      <c r="J632" s="418" t="n"/>
      <c r="K632" s="418" t="n"/>
      <c r="L632" s="512" t="n"/>
      <c r="M632" s="488" t="n"/>
      <c r="N632" s="488" t="inlineStr">
        <is>
          <t>greedy, sort, prefix sum, [maybe solve srm502-d1-500 first]</t>
        </is>
      </c>
      <c r="O632" s="488" t="n">
        <v>84</v>
      </c>
      <c r="P632" s="488" t="n">
        <v>5.5</v>
      </c>
      <c r="Q632" s="297" t="inlineStr">
        <is>
          <t>p3</t>
        </is>
      </c>
    </row>
    <row r="633" ht="15.75" customHeight="1" s="279">
      <c r="A633" s="420" t="inlineStr">
        <is>
          <t>DZY Loves Modification</t>
        </is>
      </c>
      <c r="B633" s="475">
        <f>HYPERLINK("http://codeforces.com/contest/447/problem/D","CF447-D2-D")</f>
        <v/>
      </c>
      <c r="C633" s="418" t="n"/>
      <c r="D633" s="418" t="n"/>
      <c r="E633" s="418" t="n"/>
      <c r="F633" s="418" t="n"/>
      <c r="G633" s="418" t="n"/>
      <c r="H633" s="418" t="n"/>
      <c r="I633" s="404">
        <f>SUM(E633:H633)</f>
        <v/>
      </c>
      <c r="J633" s="404" t="n"/>
      <c r="K633" s="404" t="n"/>
      <c r="L633" s="512" t="n"/>
      <c r="M633" s="511" t="inlineStr">
        <is>
          <t>Prove</t>
        </is>
      </c>
      <c r="N633" s="488" t="inlineStr">
        <is>
          <t>greedy or dp or datastructures</t>
        </is>
      </c>
      <c r="O633" s="488" t="n">
        <v>84</v>
      </c>
      <c r="P633" s="488" t="n">
        <v>5.5</v>
      </c>
      <c r="Q633" s="297" t="inlineStr">
        <is>
          <t>p2</t>
        </is>
      </c>
    </row>
    <row r="634" ht="15.75" customHeight="1" s="279">
      <c r="A634" s="420" t="n"/>
      <c r="B634" s="475">
        <f>HYPERLINK("https://agc002.contest.atcoder.jp/tasks/agc002_c","AtCoder002-AGC-C")</f>
        <v/>
      </c>
      <c r="C634" s="418" t="n"/>
      <c r="D634" s="418" t="n"/>
      <c r="E634" s="418" t="n"/>
      <c r="F634" s="418" t="n"/>
      <c r="G634" s="418" t="n"/>
      <c r="H634" s="418" t="n"/>
      <c r="I634" s="404">
        <f>SUM(E634:H634)</f>
        <v/>
      </c>
      <c r="J634" s="418" t="n"/>
      <c r="K634" s="418" t="n"/>
      <c r="L634" s="418" t="n"/>
      <c r="M634" s="420" t="n"/>
      <c r="N634" s="488" t="inlineStr">
        <is>
          <t>greedy, datastructures, stl</t>
        </is>
      </c>
      <c r="O634" s="488" t="n">
        <v>84</v>
      </c>
      <c r="P634" s="488" t="n">
        <v>5.5</v>
      </c>
      <c r="Q634" s="297" t="inlineStr">
        <is>
          <t>p2</t>
        </is>
      </c>
    </row>
    <row r="635" ht="15.75" customHeight="1" s="279">
      <c r="A635" s="420" t="inlineStr">
        <is>
          <t>Of Zorcs and Axes</t>
        </is>
      </c>
      <c r="B635" s="475">
        <f>HYPERLINK("http://codeforces.com/problemset/gymProblem/101149/G","CF101149-GYM-G")</f>
        <v/>
      </c>
      <c r="C635" s="418" t="n"/>
      <c r="D635" s="418" t="n"/>
      <c r="E635" s="418" t="n"/>
      <c r="F635" s="418" t="n"/>
      <c r="G635" s="418" t="n"/>
      <c r="H635" s="418" t="n"/>
      <c r="I635" s="404">
        <f>SUM(E635:H635)</f>
        <v/>
      </c>
      <c r="J635" s="404" t="n"/>
      <c r="K635" s="404" t="n"/>
      <c r="L635" s="512" t="n"/>
      <c r="M635" s="493">
        <f>HYPERLINK("https://github.com/BRAINOOOO/CompetitiveProgramming/blob/3057480d3a311cc86a6d64546655a9bb4017cbd6/CF/CF101149-GYM-G.Cpp","Sol")</f>
        <v/>
      </c>
      <c r="N635" s="488" t="inlineStr">
        <is>
          <t>greedy or dijkstra, [multiple start nodes]</t>
        </is>
      </c>
      <c r="O635" s="488" t="n">
        <v>84</v>
      </c>
      <c r="P635" s="488" t="n">
        <v>5.5</v>
      </c>
      <c r="Q635" s="297" t="inlineStr">
        <is>
          <t>p1</t>
        </is>
      </c>
    </row>
    <row r="636" ht="15.75" customHeight="1" s="279">
      <c r="A636" s="420" t="inlineStr">
        <is>
          <t>Robin Hood</t>
        </is>
      </c>
      <c r="B636" s="475">
        <f>HYPERLINK("http://codeforces.com/contest/672/problem/D","CF672-D2-D")</f>
        <v/>
      </c>
      <c r="C636" s="418" t="n"/>
      <c r="D636" s="418" t="n"/>
      <c r="E636" s="418" t="n"/>
      <c r="F636" s="418" t="n"/>
      <c r="G636" s="418" t="n"/>
      <c r="H636" s="418" t="n"/>
      <c r="I636" s="404">
        <f>SUM(E636:H636)</f>
        <v/>
      </c>
      <c r="J636" s="404" t="n"/>
      <c r="K636" s="404" t="n"/>
      <c r="L636" s="418" t="n"/>
      <c r="M636" s="488" t="n"/>
      <c r="N636" s="488" t="inlineStr">
        <is>
          <t>greedy, binary search, [strict time]</t>
        </is>
      </c>
      <c r="O636" s="488" t="n">
        <v>84</v>
      </c>
      <c r="P636" s="488" t="n">
        <v>5.5</v>
      </c>
    </row>
    <row r="637" ht="15.75" customHeight="1" s="279">
      <c r="A637" s="420" t="n"/>
      <c r="B637" s="420" t="inlineStr">
        <is>
          <t>SRM453.5-D2-1000</t>
        </is>
      </c>
      <c r="C637" s="418" t="n"/>
      <c r="D637" s="418" t="n"/>
      <c r="E637" s="418" t="n"/>
      <c r="F637" s="418" t="n"/>
      <c r="G637" s="418" t="n"/>
      <c r="H637" s="418" t="n"/>
      <c r="I637" s="404">
        <f>SUM(E637:H637)</f>
        <v/>
      </c>
      <c r="J637" s="418" t="n"/>
      <c r="K637" s="418" t="n"/>
      <c r="L637" s="512" t="n"/>
      <c r="M637" s="488" t="n"/>
      <c r="N637" s="488" t="inlineStr">
        <is>
          <t>greedy, math, sorting or dp</t>
        </is>
      </c>
      <c r="O637" s="488" t="n">
        <v>84</v>
      </c>
      <c r="P637" s="488" t="n">
        <v>6</v>
      </c>
      <c r="Q637" s="297" t="inlineStr">
        <is>
          <t>p3</t>
        </is>
      </c>
    </row>
    <row r="638" ht="15.75" customHeight="1" s="279">
      <c r="A638" s="420" t="n"/>
      <c r="B638" s="475">
        <f>HYPERLINK("https://codeforces.com/contest/867/problem/E","CF867-D12-E")</f>
        <v/>
      </c>
      <c r="C638" s="418" t="n"/>
      <c r="D638" s="418" t="n"/>
      <c r="E638" s="418" t="n"/>
      <c r="F638" s="418" t="n"/>
      <c r="G638" s="418" t="n"/>
      <c r="H638" s="418" t="n"/>
      <c r="I638" s="404">
        <f>SUM(E638:H638)</f>
        <v/>
      </c>
      <c r="J638" s="418" t="n"/>
      <c r="K638" s="418" t="n"/>
      <c r="L638" s="418" t="n"/>
      <c r="M638" s="488" t="n"/>
      <c r="N638" s="488" t="inlineStr">
        <is>
          <t>greedy, observations</t>
        </is>
      </c>
      <c r="O638" s="488" t="n">
        <v>84</v>
      </c>
      <c r="P638" s="488" t="n">
        <v>6</v>
      </c>
      <c r="Q638" s="297" t="inlineStr">
        <is>
          <t>p3</t>
        </is>
      </c>
    </row>
    <row r="639" ht="15.75" customHeight="1" s="279">
      <c r="A639" s="420" t="n"/>
      <c r="B639" s="420" t="inlineStr">
        <is>
          <t>SRM392-D1-1000</t>
        </is>
      </c>
      <c r="C639" s="418" t="n"/>
      <c r="D639" s="418" t="n"/>
      <c r="E639" s="418" t="n"/>
      <c r="F639" s="418" t="n"/>
      <c r="G639" s="418" t="n"/>
      <c r="H639" s="418" t="n"/>
      <c r="I639" s="404">
        <f>SUM(E639:H639)</f>
        <v/>
      </c>
      <c r="J639" s="404" t="n"/>
      <c r="K639" s="404" t="n"/>
      <c r="L639" s="512" t="n"/>
      <c r="M639" s="488" t="n"/>
      <c r="N639" s="488" t="inlineStr">
        <is>
          <t>greedy, bf, mask, impl</t>
        </is>
      </c>
      <c r="O639" s="488" t="n">
        <v>84</v>
      </c>
      <c r="P639" s="488" t="n">
        <v>6</v>
      </c>
      <c r="Q639" s="297" t="inlineStr">
        <is>
          <t>p2</t>
        </is>
      </c>
    </row>
    <row r="640" ht="15.75" customHeight="1" s="279">
      <c r="A640" s="420" t="inlineStr">
        <is>
          <t>Tennis Game</t>
        </is>
      </c>
      <c r="B640" s="475">
        <f>HYPERLINK("http://codeforces.com/contest/496/problem/D","CF496-D2-D")</f>
        <v/>
      </c>
      <c r="C640" s="418" t="n"/>
      <c r="D640" s="418" t="n"/>
      <c r="E640" s="418" t="n"/>
      <c r="F640" s="418" t="n"/>
      <c r="G640" s="418" t="n"/>
      <c r="H640" s="418" t="n"/>
      <c r="I640" s="404">
        <f>SUM(E640:H640)</f>
        <v/>
      </c>
      <c r="J640" s="418" t="n"/>
      <c r="K640" s="418" t="n"/>
      <c r="L640" s="512" t="n"/>
      <c r="M640" s="420" t="n"/>
      <c r="N640" s="488" t="inlineStr">
        <is>
          <t>greedy, bf, impl</t>
        </is>
      </c>
      <c r="O640" s="488" t="n">
        <v>84</v>
      </c>
      <c r="P640" s="488" t="n">
        <v>6</v>
      </c>
    </row>
    <row r="641" ht="15.75" customHeight="1" s="279">
      <c r="A641" s="420" t="inlineStr">
        <is>
          <t>Wasted Time</t>
        </is>
      </c>
      <c r="B641" s="475">
        <f>HYPERLINK("http://codeforces.com/contest/127/problem/A","CF127-D2-A")</f>
        <v/>
      </c>
      <c r="C641" s="418" t="n"/>
      <c r="D641" s="418" t="n"/>
      <c r="E641" s="418" t="n"/>
      <c r="F641" s="418" t="n"/>
      <c r="G641" s="418" t="n"/>
      <c r="H641" s="418" t="n"/>
      <c r="I641" s="404">
        <f>SUM(E641:H641)</f>
        <v/>
      </c>
      <c r="J641" s="418" t="n"/>
      <c r="K641" s="404" t="n"/>
      <c r="L641" s="418" t="n"/>
      <c r="M641" s="420" t="n"/>
      <c r="N641" s="488" t="inlineStr">
        <is>
          <t>impl</t>
        </is>
      </c>
      <c r="O641" s="488" t="n">
        <v>86</v>
      </c>
      <c r="P641" s="488" t="n">
        <v>1.5</v>
      </c>
    </row>
    <row r="642" ht="15.75" customHeight="1" s="279">
      <c r="A642" s="420" t="inlineStr">
        <is>
          <t>Juicer</t>
        </is>
      </c>
      <c r="B642" s="475">
        <f>HYPERLINK("http://codeforces.com/contest/709/problem/A","CF709-D2-A")</f>
        <v/>
      </c>
      <c r="C642" s="418" t="n"/>
      <c r="D642" s="418" t="n"/>
      <c r="E642" s="418" t="n"/>
      <c r="F642" s="418" t="n"/>
      <c r="G642" s="418" t="n"/>
      <c r="H642" s="418" t="n"/>
      <c r="I642" s="404">
        <f>SUM(E642:H642)</f>
        <v/>
      </c>
      <c r="J642" s="418" t="n"/>
      <c r="K642" s="404" t="n"/>
      <c r="L642" s="418" t="n"/>
      <c r="M642" s="421">
        <f>HYPERLINK("https://www.youtube.com/watch?v=fPcKGZ_e8G0","Video Solution - Solver to be (Java)")</f>
        <v/>
      </c>
      <c r="N642" s="488" t="inlineStr">
        <is>
          <t>impl</t>
        </is>
      </c>
      <c r="O642" s="488" t="n">
        <v>86</v>
      </c>
      <c r="P642" s="488" t="n">
        <v>1.5</v>
      </c>
    </row>
    <row r="643" ht="15.75" customHeight="1" s="279">
      <c r="A643" s="420" t="inlineStr">
        <is>
          <t>Anton and Polyhedrons</t>
        </is>
      </c>
      <c r="B643" s="475">
        <f>HYPERLINK("http://codeforces.com/contest/785/problem/A","CF785-D2-A")</f>
        <v/>
      </c>
      <c r="C643" s="418" t="n"/>
      <c r="D643" s="418" t="n"/>
      <c r="E643" s="418" t="n"/>
      <c r="F643" s="418" t="n"/>
      <c r="G643" s="418" t="n"/>
      <c r="H643" s="418" t="n"/>
      <c r="I643" s="404">
        <f>SUM(E643:H643)</f>
        <v/>
      </c>
      <c r="J643" s="418" t="n"/>
      <c r="K643" s="404" t="n"/>
      <c r="L643" s="418" t="n"/>
      <c r="M643" s="475">
        <f>HYPERLINK("https://www.youtube.com/watch?v=PgEnG308Hf4","Video Solution - Solver to be (Java)")</f>
        <v/>
      </c>
      <c r="N643" s="488" t="inlineStr">
        <is>
          <t>impl</t>
        </is>
      </c>
      <c r="O643" s="488" t="n">
        <v>86</v>
      </c>
      <c r="P643" s="488" t="n">
        <v>1.5</v>
      </c>
    </row>
    <row r="644" ht="15.75" customHeight="1" s="279">
      <c r="A644" s="420" t="inlineStr">
        <is>
          <t>Valera and X</t>
        </is>
      </c>
      <c r="B644" s="475">
        <f>HYPERLINK("http://codeforces.com/contest/404/problem/A","CF404-D2-A")</f>
        <v/>
      </c>
      <c r="C644" s="418" t="n"/>
      <c r="D644" s="418" t="n"/>
      <c r="E644" s="418" t="n"/>
      <c r="F644" s="418" t="n"/>
      <c r="G644" s="418" t="n"/>
      <c r="H644" s="418" t="n"/>
      <c r="I644" s="404">
        <f>SUM(E644:H644)</f>
        <v/>
      </c>
      <c r="J644" s="418" t="n"/>
      <c r="K644" s="404" t="n"/>
      <c r="L644" s="418" t="n"/>
      <c r="M644" s="475">
        <f>HYPERLINK("https://www.youtube.com/watch?v=vLEXMm860gQ","Video Solution - Solver to be (Java)")</f>
        <v/>
      </c>
      <c r="N644" s="488" t="inlineStr">
        <is>
          <t>impl, stl, set</t>
        </is>
      </c>
      <c r="O644" s="488" t="n">
        <v>86</v>
      </c>
      <c r="P644" s="488" t="n">
        <v>1.5</v>
      </c>
    </row>
    <row r="645" ht="15.75" customHeight="1" s="279">
      <c r="A645" s="420" t="inlineStr">
        <is>
          <t>Tanya and Postcard</t>
        </is>
      </c>
      <c r="B645" s="475">
        <f>HYPERLINK("http://codeforces.com/contest/518/problem/B","CF518-D2-B")</f>
        <v/>
      </c>
      <c r="C645" s="418" t="n"/>
      <c r="D645" s="418" t="n"/>
      <c r="E645" s="418" t="n"/>
      <c r="F645" s="418" t="n"/>
      <c r="G645" s="418" t="n"/>
      <c r="H645" s="418" t="n"/>
      <c r="I645" s="404">
        <f>SUM(E645:H645)</f>
        <v/>
      </c>
      <c r="J645" s="418" t="n"/>
      <c r="K645" s="418" t="n"/>
      <c r="L645" s="418" t="n"/>
      <c r="M645" s="420" t="n"/>
      <c r="N645" s="488" t="inlineStr">
        <is>
          <t>impl</t>
        </is>
      </c>
      <c r="O645" s="488" t="n">
        <v>86</v>
      </c>
      <c r="P645" s="488" t="n">
        <v>2</v>
      </c>
    </row>
    <row r="646" ht="15.75" customHeight="1" s="279">
      <c r="A646" s="420" t="inlineStr">
        <is>
          <t>Mike and Fun</t>
        </is>
      </c>
      <c r="B646" s="475">
        <f>HYPERLINK("http://codeforces.com/contest/548/problem/B","CF548-D2-B")</f>
        <v/>
      </c>
      <c r="C646" s="418" t="n"/>
      <c r="D646" s="418" t="n"/>
      <c r="E646" s="418" t="n"/>
      <c r="F646" s="418" t="n"/>
      <c r="G646" s="418" t="n"/>
      <c r="H646" s="418" t="n"/>
      <c r="I646" s="404">
        <f>SUM(E646:H646)</f>
        <v/>
      </c>
      <c r="J646" s="418" t="n"/>
      <c r="K646" s="418" t="n"/>
      <c r="L646" s="418" t="n"/>
      <c r="M646" s="420" t="n"/>
      <c r="N646" s="488" t="inlineStr">
        <is>
          <t>impl</t>
        </is>
      </c>
      <c r="O646" s="488" t="n">
        <v>86</v>
      </c>
      <c r="P646" s="488" t="n">
        <v>2</v>
      </c>
    </row>
    <row r="647" ht="15.75" customHeight="1" s="279">
      <c r="A647" s="420" t="inlineStr">
        <is>
          <t>Covered Path</t>
        </is>
      </c>
      <c r="B647" s="475">
        <f>HYPERLINK("http://codeforces.com/contest/534/problem/B","CF534-D2-B")</f>
        <v/>
      </c>
      <c r="C647" s="418" t="n"/>
      <c r="D647" s="418" t="n"/>
      <c r="E647" s="418" t="n"/>
      <c r="F647" s="418" t="n"/>
      <c r="G647" s="418" t="n"/>
      <c r="H647" s="418" t="n"/>
      <c r="I647" s="404">
        <f>SUM(E647:H647)</f>
        <v/>
      </c>
      <c r="J647" s="404" t="n"/>
      <c r="K647" s="404" t="n"/>
      <c r="L647" s="418" t="n"/>
      <c r="M647" s="420" t="n"/>
      <c r="N647" s="488" t="inlineStr">
        <is>
          <t>impl</t>
        </is>
      </c>
      <c r="O647" s="488" t="n">
        <v>86</v>
      </c>
      <c r="P647" s="488" t="n">
        <v>2</v>
      </c>
    </row>
    <row r="648" ht="15.75" customHeight="1" s="279">
      <c r="A648" s="420" t="inlineStr">
        <is>
          <t>Print Check</t>
        </is>
      </c>
      <c r="B648" s="475">
        <f>HYPERLINK("http://codeforces.com/contest/631/problem/B","CF631-D2-B")</f>
        <v/>
      </c>
      <c r="C648" s="418" t="n"/>
      <c r="D648" s="418" t="n"/>
      <c r="E648" s="418" t="n"/>
      <c r="F648" s="418" t="n"/>
      <c r="G648" s="418" t="n"/>
      <c r="H648" s="418" t="n"/>
      <c r="I648" s="404">
        <f>SUM(E648:H648)</f>
        <v/>
      </c>
      <c r="J648" s="404" t="n"/>
      <c r="K648" s="404" t="n"/>
      <c r="L648" s="418" t="n"/>
      <c r="M648" s="420" t="n"/>
      <c r="N648" s="488" t="inlineStr">
        <is>
          <t>impl</t>
        </is>
      </c>
      <c r="O648" s="488" t="n">
        <v>86</v>
      </c>
      <c r="P648" s="488" t="n">
        <v>2</v>
      </c>
    </row>
    <row r="649" ht="15.75" customHeight="1" s="279">
      <c r="A649" s="420" t="inlineStr">
        <is>
          <t>Lucky Mask</t>
        </is>
      </c>
      <c r="B649" s="475">
        <f>HYPERLINK("http://codeforces.com/contest/146/problem/B","CF146-D2-B")</f>
        <v/>
      </c>
      <c r="C649" s="418" t="n"/>
      <c r="D649" s="418" t="n"/>
      <c r="E649" s="418" t="n"/>
      <c r="F649" s="418" t="n"/>
      <c r="G649" s="418" t="n"/>
      <c r="H649" s="418" t="n"/>
      <c r="I649" s="404">
        <f>SUM(E649:H649)</f>
        <v/>
      </c>
      <c r="J649" s="404" t="n"/>
      <c r="K649" s="404" t="n"/>
      <c r="L649" s="418" t="n"/>
      <c r="M649" s="420" t="n"/>
      <c r="N649" s="488" t="inlineStr">
        <is>
          <t>impl</t>
        </is>
      </c>
      <c r="O649" s="488" t="n">
        <v>86</v>
      </c>
      <c r="P649" s="488" t="n">
        <v>2</v>
      </c>
    </row>
    <row r="650" ht="15.75" customHeight="1" s="279">
      <c r="A650" s="420" t="inlineStr">
        <is>
          <t>Special Offer! Super Price 999 Bourles!</t>
        </is>
      </c>
      <c r="B650" s="475">
        <f>HYPERLINK("http://codeforces.com/contest/219/problem/B","CF219-D2-B")</f>
        <v/>
      </c>
      <c r="C650" s="418" t="n"/>
      <c r="D650" s="418" t="n"/>
      <c r="E650" s="418" t="n"/>
      <c r="F650" s="418" t="n"/>
      <c r="G650" s="418" t="n"/>
      <c r="H650" s="418" t="n"/>
      <c r="I650" s="404">
        <f>SUM(E650:H650)</f>
        <v/>
      </c>
      <c r="J650" s="404" t="n"/>
      <c r="K650" s="404" t="n"/>
      <c r="L650" s="418" t="n"/>
      <c r="M650" s="420" t="n"/>
      <c r="N650" s="488" t="inlineStr">
        <is>
          <t>impl</t>
        </is>
      </c>
      <c r="O650" s="488" t="n">
        <v>86</v>
      </c>
      <c r="P650" s="488" t="n">
        <v>2</v>
      </c>
      <c r="Q650" s="297" t="inlineStr">
        <is>
          <t>p2</t>
        </is>
      </c>
    </row>
    <row r="651" ht="15.75" customHeight="1" s="279">
      <c r="A651" s="420" t="inlineStr">
        <is>
          <t>Non-square Equation</t>
        </is>
      </c>
      <c r="B651" s="475">
        <f>HYPERLINK("http://codeforces.com/contest/233/problem/B","CF233-D2-B")</f>
        <v/>
      </c>
      <c r="C651" s="418" t="n"/>
      <c r="D651" s="418" t="n"/>
      <c r="E651" s="418" t="n"/>
      <c r="F651" s="418" t="n"/>
      <c r="G651" s="418" t="n"/>
      <c r="H651" s="418" t="n"/>
      <c r="I651" s="404">
        <f>SUM(E651:H651)</f>
        <v/>
      </c>
      <c r="J651" s="404" t="n"/>
      <c r="K651" s="404" t="n"/>
      <c r="L651" s="418" t="n"/>
      <c r="M651" s="420" t="n"/>
      <c r="N651" s="488" t="inlineStr">
        <is>
          <t>impl</t>
        </is>
      </c>
      <c r="O651" s="488" t="n">
        <v>86</v>
      </c>
      <c r="P651" s="488" t="n">
        <v>2</v>
      </c>
    </row>
    <row r="652" ht="15.75" customHeight="1" s="279">
      <c r="A652" s="420" t="inlineStr">
        <is>
          <t>Flag Day</t>
        </is>
      </c>
      <c r="B652" s="475">
        <f>HYPERLINK("http://codeforces.com/contest/357/problem/B","CF357-D2-B")</f>
        <v/>
      </c>
      <c r="C652" s="418" t="n"/>
      <c r="D652" s="418" t="n"/>
      <c r="E652" s="418" t="n"/>
      <c r="F652" s="418" t="n"/>
      <c r="G652" s="418" t="n"/>
      <c r="H652" s="418" t="n"/>
      <c r="I652" s="404">
        <f>SUM(E652:H652)</f>
        <v/>
      </c>
      <c r="J652" s="404" t="n"/>
      <c r="K652" s="404" t="n"/>
      <c r="L652" s="418" t="n"/>
      <c r="M652" s="420" t="n"/>
      <c r="N652" s="488" t="inlineStr">
        <is>
          <t>impl</t>
        </is>
      </c>
      <c r="O652" s="488" t="n">
        <v>86</v>
      </c>
      <c r="P652" s="488" t="n">
        <v>2</v>
      </c>
    </row>
    <row r="653" ht="15.75" customHeight="1" s="279">
      <c r="A653" s="420" t="inlineStr">
        <is>
          <t>Sereja and Mirroring</t>
        </is>
      </c>
      <c r="B653" s="475">
        <f>HYPERLINK("http://codeforces.com/contest/426/problem/B","CF426-D2-B")</f>
        <v/>
      </c>
      <c r="C653" s="418" t="n"/>
      <c r="D653" s="418" t="n"/>
      <c r="E653" s="418" t="n"/>
      <c r="F653" s="418" t="n"/>
      <c r="G653" s="418" t="n"/>
      <c r="H653" s="418" t="n"/>
      <c r="I653" s="404">
        <f>SUM(E653:H653)</f>
        <v/>
      </c>
      <c r="J653" s="404" t="n"/>
      <c r="K653" s="404" t="n"/>
      <c r="L653" s="418" t="n"/>
      <c r="M653" s="420" t="n"/>
      <c r="N653" s="488" t="inlineStr">
        <is>
          <t>impl</t>
        </is>
      </c>
      <c r="O653" s="488" t="n">
        <v>86</v>
      </c>
      <c r="P653" s="488" t="n">
        <v>2</v>
      </c>
    </row>
    <row r="654" ht="15.75" customHeight="1" s="279">
      <c r="A654" s="420" t="inlineStr">
        <is>
          <t>Little Pony and Sort by Shift</t>
        </is>
      </c>
      <c r="B654" s="475">
        <f>HYPERLINK("http://codeforces.com/contest/454/problem/B","CF454-D2-B")</f>
        <v/>
      </c>
      <c r="C654" s="418" t="n"/>
      <c r="D654" s="418" t="n"/>
      <c r="E654" s="418" t="n"/>
      <c r="F654" s="418" t="n"/>
      <c r="G654" s="418" t="n"/>
      <c r="H654" s="418" t="n"/>
      <c r="I654" s="404">
        <f>SUM(E654:H654)</f>
        <v/>
      </c>
      <c r="J654" s="404" t="n"/>
      <c r="K654" s="404" t="n"/>
      <c r="L654" s="418" t="n"/>
      <c r="M654" s="420" t="n"/>
      <c r="N654" s="488" t="inlineStr">
        <is>
          <t>impl</t>
        </is>
      </c>
      <c r="O654" s="488" t="n">
        <v>86</v>
      </c>
      <c r="P654" s="488" t="n">
        <v>2</v>
      </c>
    </row>
    <row r="655" ht="15.75" customHeight="1" s="279">
      <c r="A655" s="420" t="inlineStr">
        <is>
          <t>MUH and Important Things</t>
        </is>
      </c>
      <c r="B655" s="475">
        <f>HYPERLINK("http://codeforces.com/contest/471/problem/B","CF471-D2-B")</f>
        <v/>
      </c>
      <c r="C655" s="418" t="n"/>
      <c r="D655" s="418" t="n"/>
      <c r="E655" s="418" t="n"/>
      <c r="F655" s="418" t="n"/>
      <c r="G655" s="418" t="n"/>
      <c r="H655" s="418" t="n"/>
      <c r="I655" s="404">
        <f>SUM(E655:H655)</f>
        <v/>
      </c>
      <c r="J655" s="404" t="n"/>
      <c r="K655" s="404" t="n"/>
      <c r="L655" s="418" t="n"/>
      <c r="M655" s="420" t="n"/>
      <c r="N655" s="488" t="inlineStr">
        <is>
          <t>impl</t>
        </is>
      </c>
      <c r="O655" s="488" t="n">
        <v>86</v>
      </c>
      <c r="P655" s="488" t="n">
        <v>2</v>
      </c>
    </row>
    <row r="656" ht="15.75" customHeight="1" s="279">
      <c r="A656" s="420" t="inlineStr">
        <is>
          <t>Gena's Code</t>
        </is>
      </c>
      <c r="B656" s="475">
        <f>HYPERLINK("http://codeforces.com/contest/614/problem/B","CF614-D2-B")</f>
        <v/>
      </c>
      <c r="C656" s="418" t="n"/>
      <c r="D656" s="418" t="n"/>
      <c r="E656" s="418" t="n"/>
      <c r="F656" s="418" t="n"/>
      <c r="G656" s="418" t="n"/>
      <c r="H656" s="418" t="n"/>
      <c r="I656" s="404">
        <f>SUM(E656:H656)</f>
        <v/>
      </c>
      <c r="J656" s="404" t="n"/>
      <c r="K656" s="404" t="n"/>
      <c r="L656" s="418" t="n"/>
      <c r="M656" s="488" t="n"/>
      <c r="N656" s="488" t="inlineStr">
        <is>
          <t>impl</t>
        </is>
      </c>
      <c r="O656" s="488" t="n">
        <v>86</v>
      </c>
      <c r="P656" s="488" t="n">
        <v>2</v>
      </c>
    </row>
    <row r="657" ht="15.75" customHeight="1" s="279">
      <c r="A657" s="420" t="inlineStr">
        <is>
          <t>Opposites Attract</t>
        </is>
      </c>
      <c r="B657" s="475">
        <f>HYPERLINK("http://codeforces.com/contest/131/problem/B","CF131-D2-B")</f>
        <v/>
      </c>
      <c r="C657" s="418" t="n"/>
      <c r="D657" s="418" t="n"/>
      <c r="E657" s="418" t="n"/>
      <c r="F657" s="418" t="n"/>
      <c r="G657" s="418" t="n"/>
      <c r="H657" s="418" t="n"/>
      <c r="I657" s="404">
        <f>SUM(E657:H657)</f>
        <v/>
      </c>
      <c r="J657" s="418" t="n"/>
      <c r="K657" s="418" t="n"/>
      <c r="L657" s="418" t="n"/>
      <c r="M657" s="421" t="n"/>
      <c r="N657" s="488" t="inlineStr">
        <is>
          <t>impl</t>
        </is>
      </c>
      <c r="O657" s="488" t="n">
        <v>86</v>
      </c>
      <c r="P657" s="488" t="n">
        <v>2</v>
      </c>
    </row>
    <row r="658" ht="15.75" customHeight="1" s="279">
      <c r="A658" s="420" t="inlineStr">
        <is>
          <t>Little Pigs and Wolves</t>
        </is>
      </c>
      <c r="B658" s="475">
        <f>HYPERLINK("http://codeforces.com/contest/116/problem/B","CF116-D2-B")</f>
        <v/>
      </c>
      <c r="C658" s="418" t="n"/>
      <c r="D658" s="418" t="n"/>
      <c r="E658" s="418" t="n"/>
      <c r="F658" s="418" t="n"/>
      <c r="G658" s="418" t="n"/>
      <c r="H658" s="418" t="n"/>
      <c r="I658" s="404">
        <f>SUM(E658:H658)</f>
        <v/>
      </c>
      <c r="J658" s="404" t="n"/>
      <c r="K658" s="404" t="n"/>
      <c r="L658" s="418" t="n"/>
      <c r="M658" s="420" t="n"/>
      <c r="N658" s="488" t="inlineStr">
        <is>
          <t>impl</t>
        </is>
      </c>
      <c r="O658" s="488" t="n">
        <v>86</v>
      </c>
      <c r="P658" s="488" t="n">
        <v>2</v>
      </c>
    </row>
    <row r="659" ht="15.75" customHeight="1" s="279">
      <c r="A659" s="420" t="inlineStr">
        <is>
          <t>Cosmic Tables</t>
        </is>
      </c>
      <c r="B659" s="475">
        <f>HYPERLINK("http://codeforces.com/contest/222/problem/B","CF222-D2-B")</f>
        <v/>
      </c>
      <c r="C659" s="418" t="n"/>
      <c r="D659" s="418" t="n"/>
      <c r="E659" s="418" t="n"/>
      <c r="F659" s="418" t="n"/>
      <c r="G659" s="418" t="n"/>
      <c r="H659" s="418" t="n"/>
      <c r="I659" s="404">
        <f>SUM(E659:H659)</f>
        <v/>
      </c>
      <c r="J659" s="418" t="n"/>
      <c r="K659" s="418" t="n"/>
      <c r="L659" s="418" t="n"/>
      <c r="M659" s="421" t="n"/>
      <c r="N659" s="488" t="inlineStr">
        <is>
          <t>impl</t>
        </is>
      </c>
      <c r="O659" s="488" t="n">
        <v>86</v>
      </c>
      <c r="P659" s="488" t="n">
        <v>2</v>
      </c>
    </row>
    <row r="660" ht="15.75" customHeight="1" s="279">
      <c r="A660" s="420" t="inlineStr">
        <is>
          <t>Prime Matrix</t>
        </is>
      </c>
      <c r="B660" s="475">
        <f>HYPERLINK("http://codeforces.com/contest/271/problem/B","CF271-D2-B")</f>
        <v/>
      </c>
      <c r="C660" s="418" t="n"/>
      <c r="D660" s="418" t="n"/>
      <c r="E660" s="418" t="n"/>
      <c r="F660" s="418" t="n"/>
      <c r="G660" s="418" t="n"/>
      <c r="H660" s="418" t="n"/>
      <c r="I660" s="404">
        <f>SUM(E660:H660)</f>
        <v/>
      </c>
      <c r="J660" s="404" t="n"/>
      <c r="K660" s="404" t="n"/>
      <c r="L660" s="418" t="n"/>
      <c r="M660" s="488" t="n"/>
      <c r="N660" s="488" t="inlineStr">
        <is>
          <t>impl</t>
        </is>
      </c>
      <c r="O660" s="488" t="n">
        <v>86</v>
      </c>
      <c r="P660" s="488" t="n">
        <v>2</v>
      </c>
    </row>
    <row r="661" ht="23.25" customHeight="1" s="279">
      <c r="A661" s="420" t="inlineStr">
        <is>
          <t>Wet Shark and Bishops</t>
        </is>
      </c>
      <c r="B661" s="475">
        <f>HYPERLINK("http://codeforces.com/contest/621/problem/B","CF621-D2-B")</f>
        <v/>
      </c>
      <c r="C661" s="418" t="n"/>
      <c r="D661" s="418" t="n"/>
      <c r="E661" s="418" t="n"/>
      <c r="F661" s="418" t="n"/>
      <c r="G661" s="418" t="n"/>
      <c r="H661" s="418" t="n"/>
      <c r="I661" s="404">
        <f>SUM(E661:H661)</f>
        <v/>
      </c>
      <c r="J661" s="404" t="n"/>
      <c r="K661" s="404" t="n"/>
      <c r="L661" s="418" t="n"/>
      <c r="M661" s="475">
        <f>HYPERLINK("https://www.youtube.com/watch?v=zKne2u4DuIs&amp;feature=youtu.be","Video Solution - Eng Mahmoud Mabrok")</f>
        <v/>
      </c>
      <c r="N661" s="488" t="inlineStr">
        <is>
          <t>impl</t>
        </is>
      </c>
      <c r="O661" s="488" t="n">
        <v>86</v>
      </c>
      <c r="P661" s="488" t="n">
        <v>2</v>
      </c>
    </row>
    <row r="662" ht="15.75" customHeight="1" s="279">
      <c r="A662" s="420" t="n"/>
      <c r="B662" s="475">
        <f>HYPERLINK("https://codeforces.com/contest/1030/problem/B","CF1030-D12-B")</f>
        <v/>
      </c>
      <c r="C662" s="418" t="n"/>
      <c r="D662" s="418" t="n"/>
      <c r="E662" s="418" t="n"/>
      <c r="F662" s="418" t="n"/>
      <c r="G662" s="418" t="n"/>
      <c r="H662" s="418" t="n"/>
      <c r="I662" s="404">
        <f>SUM(E662:H662)</f>
        <v/>
      </c>
      <c r="J662" s="418" t="n"/>
      <c r="K662" s="418" t="n"/>
      <c r="L662" s="418" t="n"/>
      <c r="M662" s="420" t="n"/>
      <c r="N662" s="488" t="inlineStr">
        <is>
          <t>impl, math</t>
        </is>
      </c>
      <c r="O662" s="488" t="n">
        <v>86</v>
      </c>
      <c r="P662" s="488" t="n">
        <v>2</v>
      </c>
    </row>
    <row r="663" ht="15.75" customHeight="1" s="279">
      <c r="A663" s="420" t="inlineStr">
        <is>
          <t>Facetook Priority Wall</t>
        </is>
      </c>
      <c r="B663" s="475">
        <f>HYPERLINK("http://codeforces.com/contest/75/problem/B","CF75-D2-B")</f>
        <v/>
      </c>
      <c r="C663" s="418" t="n"/>
      <c r="D663" s="418" t="n"/>
      <c r="E663" s="418" t="n"/>
      <c r="F663" s="418" t="n"/>
      <c r="G663" s="418" t="n"/>
      <c r="H663" s="418" t="n"/>
      <c r="I663" s="404">
        <f>SUM(E663:H663)</f>
        <v/>
      </c>
      <c r="J663" s="404" t="n"/>
      <c r="K663" s="404" t="n"/>
      <c r="L663" s="418" t="n"/>
      <c r="M663" s="420" t="n"/>
      <c r="N663" s="488" t="inlineStr">
        <is>
          <t>impl, sorting</t>
        </is>
      </c>
      <c r="O663" s="488" t="n">
        <v>86</v>
      </c>
      <c r="P663" s="488" t="n">
        <v>2</v>
      </c>
    </row>
    <row r="664" ht="15.75" customHeight="1" s="279">
      <c r="A664" s="295" t="inlineStr">
        <is>
          <t>Queue</t>
        </is>
      </c>
      <c r="B664" s="417">
        <f>HYPERLINK("http://codeforces.com/contest/490/problem/B","CF490-D2-B")</f>
        <v/>
      </c>
      <c r="C664" s="295" t="n"/>
      <c r="D664" s="295" t="n"/>
      <c r="E664" s="295" t="n"/>
      <c r="F664" s="295" t="n"/>
      <c r="G664" s="295" t="n"/>
      <c r="H664" s="295" t="n"/>
      <c r="I664" s="418">
        <f>SUM(E664:H664)</f>
        <v/>
      </c>
      <c r="J664" s="295" t="n"/>
      <c r="K664" s="295" t="n"/>
      <c r="L664" s="295" t="n"/>
      <c r="M664" s="295" t="n"/>
      <c r="N664" s="295" t="inlineStr">
        <is>
          <t>graph, constructive, adhoc</t>
        </is>
      </c>
      <c r="O664" s="420" t="n">
        <v>86</v>
      </c>
      <c r="P664" s="420" t="n">
        <v>3</v>
      </c>
      <c r="Q664" s="301" t="inlineStr">
        <is>
          <t>p2</t>
        </is>
      </c>
    </row>
    <row r="665" ht="15.75" customHeight="1" s="279">
      <c r="A665" s="420" t="inlineStr">
        <is>
          <t>Hanoi Tower</t>
        </is>
      </c>
      <c r="B665" s="475">
        <f>HYPERLINK("http://acm.timus.ru/problem.aspx?space=1&amp;num=1054","TIMUS 1054")</f>
        <v/>
      </c>
      <c r="C665" s="418" t="n"/>
      <c r="D665" s="418" t="n"/>
      <c r="E665" s="418" t="n"/>
      <c r="F665" s="418" t="n"/>
      <c r="G665" s="418" t="n"/>
      <c r="H665" s="418" t="n"/>
      <c r="I665" s="404">
        <f>SUM(E665:H665)</f>
        <v/>
      </c>
      <c r="J665" s="404" t="n"/>
      <c r="K665" s="404" t="n"/>
      <c r="L665" s="418" t="n"/>
      <c r="M665" s="475">
        <f>HYPERLINK("https://github.com/MeGaCrazy/CompetitiveProgramming/blob/9ebf16b4239c8f58c694f2ae22c8f07d1fa70864/Timus/TIMUS_1054.cpp","Sol")</f>
        <v/>
      </c>
      <c r="N665" s="488" t="inlineStr">
        <is>
          <t>impl, recursion, tower of hanoi</t>
        </is>
      </c>
      <c r="O665" s="488" t="n">
        <v>86</v>
      </c>
      <c r="P665" s="488" t="n">
        <v>3</v>
      </c>
      <c r="Q665" s="297" t="inlineStr">
        <is>
          <t>p2</t>
        </is>
      </c>
    </row>
    <row r="666" ht="15.75" customHeight="1" s="279">
      <c r="A666" s="420" t="inlineStr">
        <is>
          <t>Treasure</t>
        </is>
      </c>
      <c r="B666" s="475">
        <f>HYPERLINK("http://codeforces.com/contest/495/problem/C","CF495-D2-C")</f>
        <v/>
      </c>
      <c r="C666" s="418" t="n"/>
      <c r="D666" s="418" t="n"/>
      <c r="E666" s="418" t="n"/>
      <c r="F666" s="418" t="n"/>
      <c r="G666" s="418" t="n"/>
      <c r="H666" s="418" t="n"/>
      <c r="I666" s="404">
        <f>SUM(E666:H666)</f>
        <v/>
      </c>
      <c r="J666" s="418" t="n"/>
      <c r="K666" s="418" t="n"/>
      <c r="L666" s="512" t="n"/>
      <c r="M666" s="420" t="n"/>
      <c r="N666" s="488" t="inlineStr">
        <is>
          <t>impl</t>
        </is>
      </c>
      <c r="O666" s="488" t="n">
        <v>86</v>
      </c>
      <c r="P666" s="488" t="n">
        <v>4</v>
      </c>
    </row>
    <row r="667" ht="15.75" customHeight="1" s="279">
      <c r="A667" s="420" t="inlineStr">
        <is>
          <t>Game</t>
        </is>
      </c>
      <c r="B667" s="475">
        <f>HYPERLINK("http://codeforces.com/contest/69/problem/C","CF69-D2-C")</f>
        <v/>
      </c>
      <c r="C667" s="418" t="n"/>
      <c r="D667" s="418" t="n"/>
      <c r="E667" s="418" t="n"/>
      <c r="F667" s="418" t="n"/>
      <c r="G667" s="418" t="n"/>
      <c r="H667" s="418" t="n"/>
      <c r="I667" s="404">
        <f>SUM(E667:H667)</f>
        <v/>
      </c>
      <c r="J667" s="404" t="n"/>
      <c r="K667" s="404" t="n"/>
      <c r="L667" s="512" t="n"/>
      <c r="M667" s="420" t="n"/>
      <c r="N667" s="488" t="inlineStr">
        <is>
          <t>impl</t>
        </is>
      </c>
      <c r="O667" s="488" t="n">
        <v>86</v>
      </c>
      <c r="P667" s="488" t="n">
        <v>4</v>
      </c>
    </row>
    <row r="668" ht="15.75" customHeight="1" s="279">
      <c r="A668" s="420" t="inlineStr">
        <is>
          <t>Accordian Patience</t>
        </is>
      </c>
      <c r="B668" s="475">
        <f>HYPERLINK("https://uva.onlinejudge.org/index.php?option=onlinejudge&amp;page=show_problem&amp;problem=63","UVA 127")</f>
        <v/>
      </c>
      <c r="C668" s="418" t="n"/>
      <c r="D668" s="418" t="n"/>
      <c r="E668" s="418" t="n"/>
      <c r="F668" s="418" t="n"/>
      <c r="G668" s="418" t="n"/>
      <c r="H668" s="418" t="n"/>
      <c r="I668" s="404">
        <f>SUM(E668:H668)</f>
        <v/>
      </c>
      <c r="J668" s="404" t="n"/>
      <c r="K668" s="404" t="n"/>
      <c r="L668" s="418" t="n"/>
      <c r="M668" s="421">
        <f>HYPERLINK("https://www.youtube.com/watch?v=fSZRRUPm0ro&amp;feature=youtu.be","Video Solution - Eng Moaz Rashad")</f>
        <v/>
      </c>
      <c r="N668" s="488" t="inlineStr">
        <is>
          <t>impl</t>
        </is>
      </c>
      <c r="O668" s="488" t="n">
        <v>86</v>
      </c>
      <c r="P668" s="488" t="n">
        <v>4</v>
      </c>
      <c r="Q668" s="297" t="inlineStr">
        <is>
          <t>p1</t>
        </is>
      </c>
    </row>
    <row r="669" ht="15.75" customHeight="1" s="279">
      <c r="A669" s="420" t="inlineStr">
        <is>
          <t>Beautiful Sets of Points</t>
        </is>
      </c>
      <c r="B669" s="475">
        <f>HYPERLINK("http://codeforces.com/contest/268/problem/C","CF268-D2-C")</f>
        <v/>
      </c>
      <c r="C669" s="418" t="n"/>
      <c r="D669" s="418" t="n"/>
      <c r="E669" s="418" t="n"/>
      <c r="F669" s="418" t="n"/>
      <c r="G669" s="418" t="n"/>
      <c r="H669" s="418" t="n"/>
      <c r="I669" s="404">
        <f>SUM(E669:H669)</f>
        <v/>
      </c>
      <c r="J669" s="404" t="n"/>
      <c r="K669" s="404" t="n"/>
      <c r="L669" s="418" t="n"/>
      <c r="M669" s="488" t="n"/>
      <c r="N669" s="488" t="inlineStr">
        <is>
          <t>impl, constructive</t>
        </is>
      </c>
      <c r="O669" s="488" t="n">
        <v>86</v>
      </c>
      <c r="P669" s="488" t="n">
        <v>4</v>
      </c>
    </row>
    <row r="670" ht="15.75" customHeight="1" s="279">
      <c r="A670" s="420" t="inlineStr">
        <is>
          <t>Appleman and Toastman</t>
        </is>
      </c>
      <c r="B670" s="475">
        <f>HYPERLINK("http://codeforces.com/contest/462/problem/C","CF462-D2-C")</f>
        <v/>
      </c>
      <c r="C670" s="418" t="n"/>
      <c r="D670" s="418" t="n"/>
      <c r="E670" s="418" t="n"/>
      <c r="F670" s="418" t="n"/>
      <c r="G670" s="418" t="n"/>
      <c r="H670" s="418" t="n"/>
      <c r="I670" s="404">
        <f>SUM(E670:H670)</f>
        <v/>
      </c>
      <c r="J670" s="418" t="n"/>
      <c r="K670" s="418" t="n"/>
      <c r="L670" s="418" t="n"/>
      <c r="M670" s="493">
        <f>HYPERLINK("https://github.com/MedoN11/CompetitiveProgramming/blob/master/Atcoder/CF_462C.java","Sol")</f>
        <v/>
      </c>
      <c r="N670" s="488" t="inlineStr">
        <is>
          <t>impl, sorting, huffman coding</t>
        </is>
      </c>
      <c r="O670" s="488" t="n">
        <v>86</v>
      </c>
      <c r="P670" s="488" t="n">
        <v>4</v>
      </c>
    </row>
    <row r="671" ht="15.75" customHeight="1" s="279">
      <c r="A671" s="420" t="inlineStr">
        <is>
          <t>Three Logos</t>
        </is>
      </c>
      <c r="B671" s="475">
        <f>HYPERLINK("http://codeforces.com/contest/581/problem/D","CF581-D2-D")</f>
        <v/>
      </c>
      <c r="C671" s="418" t="n"/>
      <c r="D671" s="418" t="n"/>
      <c r="E671" s="418" t="n"/>
      <c r="F671" s="418" t="n"/>
      <c r="G671" s="418" t="n"/>
      <c r="H671" s="418" t="n"/>
      <c r="I671" s="404">
        <f>SUM(E671:H671)</f>
        <v/>
      </c>
      <c r="J671" s="418" t="n"/>
      <c r="K671" s="418" t="n"/>
      <c r="L671" s="418" t="n"/>
      <c r="M671" s="420" t="n"/>
      <c r="N671" s="488" t="inlineStr">
        <is>
          <t>impl</t>
        </is>
      </c>
      <c r="O671" s="488" t="n">
        <v>86</v>
      </c>
      <c r="P671" s="488" t="n">
        <v>4.5</v>
      </c>
      <c r="Q671" s="297" t="inlineStr">
        <is>
          <t>p2</t>
        </is>
      </c>
    </row>
    <row r="672" ht="15.75" customHeight="1" s="279">
      <c r="A672" s="420" t="inlineStr">
        <is>
          <t>Guess Your Way Out!</t>
        </is>
      </c>
      <c r="B672" s="475">
        <f>HYPERLINK("http://codeforces.com/contest/507/problem/C","CF507-D2-C")</f>
        <v/>
      </c>
      <c r="C672" s="418" t="n"/>
      <c r="D672" s="418" t="n"/>
      <c r="E672" s="418" t="n"/>
      <c r="F672" s="418" t="n"/>
      <c r="G672" s="418" t="n"/>
      <c r="H672" s="418" t="n"/>
      <c r="I672" s="404">
        <f>SUM(E672:H672)</f>
        <v/>
      </c>
      <c r="J672" s="404" t="n"/>
      <c r="K672" s="404" t="n"/>
      <c r="L672" s="418" t="n"/>
      <c r="M672" s="421">
        <f>HYPERLINK("https://www.youtube.com/watch?v=1Ki1L9BAJIQ","Video Solution - Dr Mostafa Saad")</f>
        <v/>
      </c>
      <c r="N672" s="488" t="inlineStr">
        <is>
          <t>impl, math</t>
        </is>
      </c>
      <c r="O672" s="488" t="n">
        <v>86</v>
      </c>
      <c r="P672" s="488" t="n">
        <v>4.5</v>
      </c>
      <c r="Q672" s="297" t="inlineStr">
        <is>
          <t>p2</t>
        </is>
      </c>
    </row>
    <row r="673" ht="15.75" customHeight="1" s="279">
      <c r="A673" s="420" t="n"/>
      <c r="B673" s="475">
        <f>HYPERLINK("http://codeforces.com/contest/1043/problem/D" , "CF1042-D12-D")</f>
        <v/>
      </c>
      <c r="C673" s="418" t="n"/>
      <c r="D673" s="418" t="n"/>
      <c r="E673" s="418" t="n"/>
      <c r="F673" s="418" t="n"/>
      <c r="G673" s="418" t="n"/>
      <c r="H673" s="418" t="n"/>
      <c r="I673" s="404">
        <f>SUM(E673:H673)</f>
        <v/>
      </c>
      <c r="J673" s="418" t="n"/>
      <c r="K673" s="418" t="n"/>
      <c r="L673" s="418" t="n"/>
      <c r="M673" s="420" t="n"/>
      <c r="N673" s="488" t="inlineStr">
        <is>
          <t>impl or segment tree or bit</t>
        </is>
      </c>
      <c r="O673" s="488" t="n">
        <v>86</v>
      </c>
      <c r="P673" s="488" t="n">
        <v>5</v>
      </c>
      <c r="Q673" s="297" t="inlineStr">
        <is>
          <t>p2</t>
        </is>
      </c>
    </row>
    <row r="674" ht="15.75" customHeight="1" s="279">
      <c r="A674" s="420" t="inlineStr">
        <is>
          <t>Mafia</t>
        </is>
      </c>
      <c r="B674" s="475">
        <f>HYPERLINK("http://codeforces.com/contest/349/problem/C","CF349-D2-C")</f>
        <v/>
      </c>
      <c r="C674" s="418" t="n"/>
      <c r="D674" s="418" t="n"/>
      <c r="E674" s="418" t="n"/>
      <c r="F674" s="418" t="n"/>
      <c r="G674" s="418" t="n"/>
      <c r="H674" s="418" t="n"/>
      <c r="I674" s="404">
        <f>SUM(E674:H674)</f>
        <v/>
      </c>
      <c r="J674" s="418" t="n"/>
      <c r="K674" s="418" t="n"/>
      <c r="L674" s="418" t="n"/>
      <c r="M674" s="420" t="n"/>
      <c r="N674" s="488" t="inlineStr">
        <is>
          <t>impl, math</t>
        </is>
      </c>
      <c r="O674" s="488" t="n">
        <v>86</v>
      </c>
      <c r="P674" s="488" t="n">
        <v>5</v>
      </c>
      <c r="Q674" s="297" t="inlineStr">
        <is>
          <t>p2</t>
        </is>
      </c>
    </row>
    <row r="675" ht="15.75" customHeight="1" s="279">
      <c r="A675" s="420" t="inlineStr">
        <is>
          <t>Unusual Product</t>
        </is>
      </c>
      <c r="B675" s="475">
        <f>HYPERLINK("http://codeforces.com/contest/405/problem/C","CF405-D2-C")</f>
        <v/>
      </c>
      <c r="C675" s="418" t="n"/>
      <c r="D675" s="418" t="n"/>
      <c r="E675" s="418" t="n"/>
      <c r="F675" s="418" t="n"/>
      <c r="G675" s="418" t="n"/>
      <c r="H675" s="418" t="n"/>
      <c r="I675" s="404">
        <f>SUM(E675:H675)</f>
        <v/>
      </c>
      <c r="J675" s="404" t="n"/>
      <c r="K675" s="404" t="n"/>
      <c r="L675" s="418" t="n"/>
      <c r="M675" s="488" t="n"/>
      <c r="N675" s="488" t="inlineStr">
        <is>
          <t>impl, math, [symbolic thinking]</t>
        </is>
      </c>
      <c r="O675" s="488" t="n">
        <v>86</v>
      </c>
      <c r="P675" s="488" t="n">
        <v>5</v>
      </c>
      <c r="Q675" s="297" t="inlineStr">
        <is>
          <t>p1</t>
        </is>
      </c>
    </row>
    <row r="676" ht="15.75" customHeight="1" s="279">
      <c r="A676" s="420" t="n"/>
      <c r="B676" s="475">
        <f>HYPERLINK("https://codeforces.com/gym/101187/problem/F","CF101187-GYM-F")</f>
        <v/>
      </c>
      <c r="C676" s="418" t="n"/>
      <c r="D676" s="418" t="n"/>
      <c r="E676" s="418" t="n"/>
      <c r="F676" s="418" t="n"/>
      <c r="G676" s="418" t="n"/>
      <c r="H676" s="418" t="n"/>
      <c r="I676" s="404">
        <f>SUM(E676:H676)</f>
        <v/>
      </c>
      <c r="J676" s="418" t="n"/>
      <c r="K676" s="418" t="n"/>
      <c r="L676" s="418" t="n"/>
      <c r="M676" s="475">
        <f>HYPERLINK("https://github.com/SpeedOfMagic/CompetitiveProgramming/blob/master/CodeforcesGym/CF101187-GYM-F.cpp","Sol")</f>
        <v/>
      </c>
      <c r="N676" s="488" t="inlineStr">
        <is>
          <t>impl</t>
        </is>
      </c>
      <c r="O676" s="488" t="n">
        <v>86</v>
      </c>
      <c r="P676" s="488" t="n">
        <v>5.25</v>
      </c>
      <c r="Q676" s="297" t="inlineStr">
        <is>
          <t>p2</t>
        </is>
      </c>
    </row>
    <row r="677" ht="15.75" customHeight="1" s="279">
      <c r="A677" s="420" t="inlineStr">
        <is>
          <t>Special Grid</t>
        </is>
      </c>
      <c r="B677" s="475">
        <f>HYPERLINK("http://codeforces.com/contest/435/problem/D","CF435-D2-D")</f>
        <v/>
      </c>
      <c r="C677" s="418" t="n"/>
      <c r="D677" s="418" t="n"/>
      <c r="E677" s="418" t="n"/>
      <c r="F677" s="418" t="n"/>
      <c r="G677" s="418" t="n"/>
      <c r="H677" s="418" t="n"/>
      <c r="I677" s="404">
        <f>SUM(E677:H677)</f>
        <v/>
      </c>
      <c r="J677" s="404" t="n"/>
      <c r="K677" s="404" t="n"/>
      <c r="L677" s="512" t="n"/>
      <c r="M677" s="488" t="n"/>
      <c r="N677" s="488" t="inlineStr">
        <is>
          <t>impl, greedy</t>
        </is>
      </c>
      <c r="O677" s="488" t="n">
        <v>86</v>
      </c>
      <c r="P677" s="488" t="n">
        <v>5.5</v>
      </c>
      <c r="Q677" s="297" t="inlineStr">
        <is>
          <t>p2</t>
        </is>
      </c>
    </row>
    <row r="678" ht="15.75" customHeight="1" s="279">
      <c r="A678" s="420" t="inlineStr">
        <is>
          <t>Theatre Square</t>
        </is>
      </c>
      <c r="B678" s="475">
        <f>HYPERLINK("http://codeforces.com/contest/1/problem/A","CF1-D12-A")</f>
        <v/>
      </c>
      <c r="C678" s="418" t="n"/>
      <c r="D678" s="418" t="n"/>
      <c r="E678" s="418" t="n"/>
      <c r="F678" s="418" t="n"/>
      <c r="G678" s="418" t="n"/>
      <c r="H678" s="418" t="n"/>
      <c r="I678" s="404">
        <f>SUM(E678:H678)</f>
        <v/>
      </c>
      <c r="J678" s="418" t="n"/>
      <c r="K678" s="404" t="n"/>
      <c r="L678" s="418" t="n"/>
      <c r="M678" s="475">
        <f>HYPERLINK("https://www.youtube.com/watch?v=C5qZwZYPMJY","Video Solution - Solver to be (Java)")</f>
        <v/>
      </c>
      <c r="N678" s="488" t="inlineStr">
        <is>
          <t>math</t>
        </is>
      </c>
      <c r="O678" s="488" t="n">
        <v>87</v>
      </c>
      <c r="P678" s="488" t="n">
        <v>1.5</v>
      </c>
    </row>
    <row r="679" ht="30.75" customHeight="1" s="279">
      <c r="A679" s="420" t="n"/>
      <c r="B679" s="453">
        <f>HYPERLINK("https://codeforces.com/contest/1204/problem/A","CF1204-D2-A")</f>
        <v/>
      </c>
      <c r="C679" s="418" t="n"/>
      <c r="D679" s="418" t="n"/>
      <c r="E679" s="418" t="n"/>
      <c r="F679" s="418" t="n"/>
      <c r="G679" s="418" t="n"/>
      <c r="H679" s="418" t="n"/>
      <c r="I679" s="404">
        <f>SUM(E679:H679)</f>
        <v/>
      </c>
      <c r="J679" s="418" t="n"/>
      <c r="K679" s="404" t="n"/>
      <c r="L679" s="418" t="n"/>
      <c r="M679" s="453">
        <f>HYPERLINK("https://www.youtube.com/watch?v=4ITr6GaZP","Video Solution - Dr Mostafa Saad")</f>
        <v/>
      </c>
      <c r="N679" s="511" t="inlineStr">
        <is>
          <t>math, log, binary, pattern observation</t>
        </is>
      </c>
      <c r="O679" s="488" t="n">
        <v>87</v>
      </c>
      <c r="P679" s="488" t="n">
        <v>2</v>
      </c>
      <c r="Q679" s="297" t="inlineStr">
        <is>
          <t>p2</t>
        </is>
      </c>
    </row>
    <row r="680" ht="15.75" customHeight="1" s="279">
      <c r="A680" s="295" t="inlineStr">
        <is>
          <t>Balanced Rating Changes</t>
        </is>
      </c>
      <c r="B680" s="417">
        <f>HYPERLINK("https://codeforces.com/contest/1237/problem/A","CF1237-D12-A")</f>
        <v/>
      </c>
      <c r="C680" s="295" t="n"/>
      <c r="D680" s="295" t="n"/>
      <c r="E680" s="295" t="n"/>
      <c r="F680" s="295" t="n"/>
      <c r="G680" s="295" t="n"/>
      <c r="H680" s="295" t="n"/>
      <c r="I680" s="404">
        <f>SUM(E680:H680)</f>
        <v/>
      </c>
      <c r="J680" s="418" t="n"/>
      <c r="K680" s="404" t="n"/>
      <c r="L680" s="418" t="n"/>
      <c r="M680" s="407" t="n"/>
      <c r="N680" s="488" t="inlineStr">
        <is>
          <t>math, analysis</t>
        </is>
      </c>
      <c r="O680" s="488" t="n">
        <v>87</v>
      </c>
      <c r="P680" s="488" t="n">
        <v>2</v>
      </c>
      <c r="Q680" s="297" t="inlineStr">
        <is>
          <t>p3</t>
        </is>
      </c>
    </row>
    <row r="681" ht="15.75" customHeight="1" s="279">
      <c r="A681" s="420" t="inlineStr">
        <is>
          <t>The Drunk Jailer</t>
        </is>
      </c>
      <c r="B681" s="475">
        <f>HYPERLINK("https://icpcarchive.ecs.baylor.edu/index.php?option=com_onlinejudge&amp;Itemid=8&amp;page=show_problem&amp;problem=558","LIVEARCHIVE 2557")</f>
        <v/>
      </c>
      <c r="C681" s="418" t="n"/>
      <c r="D681" s="418" t="n"/>
      <c r="E681" s="418" t="n"/>
      <c r="F681" s="418" t="n"/>
      <c r="G681" s="418" t="n"/>
      <c r="H681" s="418" t="n"/>
      <c r="I681" s="404">
        <f>SUM(E681:H681)</f>
        <v/>
      </c>
      <c r="J681" s="404" t="n"/>
      <c r="K681" s="404" t="n"/>
      <c r="L681" s="404" t="n"/>
      <c r="M681" s="422">
        <f>HYPERLINK("https://raw.githubusercontent.com/NadaAlaa/CompetitiveProgramming/master/LiveArchive/2557.cpp","Find a formula")</f>
        <v/>
      </c>
      <c r="N681" s="488" t="inlineStr">
        <is>
          <t>math or bf</t>
        </is>
      </c>
      <c r="O681" s="488" t="n">
        <v>87</v>
      </c>
      <c r="P681" s="488" t="n">
        <v>2</v>
      </c>
      <c r="Q681" s="297" t="inlineStr">
        <is>
          <t>p1</t>
        </is>
      </c>
    </row>
    <row r="682" ht="15.75" customHeight="1" s="279">
      <c r="A682" s="420" t="inlineStr">
        <is>
          <t>Product</t>
        </is>
      </c>
      <c r="B682" s="475">
        <f>HYPERLINK("https://uva.onlinejudge.org/index.php?option=com_onlinejudge&amp;Itemid=8&amp;page=show_problem&amp;problem=1047","UVA 10106")</f>
        <v/>
      </c>
      <c r="C682" s="418" t="n"/>
      <c r="D682" s="418" t="n"/>
      <c r="E682" s="418" t="n"/>
      <c r="F682" s="418" t="n"/>
      <c r="G682" s="418" t="n"/>
      <c r="H682" s="418" t="n"/>
      <c r="I682" s="404">
        <f>SUM(E682:H682)</f>
        <v/>
      </c>
      <c r="J682" s="418" t="n"/>
      <c r="K682" s="404" t="n"/>
      <c r="L682" s="418" t="n"/>
      <c r="M682" s="421">
        <f>HYPERLINK("https://www.youtube.com/watch?v=KNd6eqRpWqE","Video Solution - Eng Youssef El Ghareeb. Don't solve using big integer")</f>
        <v/>
      </c>
      <c r="N682" s="488" t="inlineStr">
        <is>
          <t>math</t>
        </is>
      </c>
      <c r="O682" s="488" t="n">
        <v>87</v>
      </c>
      <c r="P682" s="488" t="n">
        <v>2</v>
      </c>
    </row>
    <row r="683" ht="15.75" customHeight="1" s="279">
      <c r="A683" s="420" t="inlineStr">
        <is>
          <t>To Carry or not to Carry</t>
        </is>
      </c>
      <c r="B683" s="475">
        <f>HYPERLINK("https://uva.onlinejudge.org/index.php?option=onlinejudge&amp;page=show_problem&amp;problem=1410","UVA 10469")</f>
        <v/>
      </c>
      <c r="C683" s="418" t="n"/>
      <c r="D683" s="418" t="n"/>
      <c r="E683" s="418" t="n"/>
      <c r="F683" s="418" t="n"/>
      <c r="G683" s="418" t="n"/>
      <c r="H683" s="418" t="n"/>
      <c r="I683" s="404">
        <f>SUM(E683:H683)</f>
        <v/>
      </c>
      <c r="J683" s="404" t="n"/>
      <c r="K683" s="404" t="n"/>
      <c r="L683" s="404" t="n"/>
      <c r="M683" s="493">
        <f>HYPERLINK("https://github.com/Diusrex/UVA-Solutions/blob/master/10469%20To%20Carry%20or%20not%20to%20Carry.cpp","Sol")</f>
        <v/>
      </c>
      <c r="N683" s="488" t="inlineStr">
        <is>
          <t>math</t>
        </is>
      </c>
      <c r="O683" s="488" t="n">
        <v>87</v>
      </c>
      <c r="P683" s="488" t="n">
        <v>2</v>
      </c>
    </row>
    <row r="684" ht="15.75" customHeight="1" s="279">
      <c r="A684" s="420" t="inlineStr">
        <is>
          <t>Adding Reversed Numbers</t>
        </is>
      </c>
      <c r="B684" s="475">
        <f>HYPERLINK("https://uva.onlinejudge.org/index.php?option=onlinejudge&amp;page=show_problem&amp;problem=654","UVA 713")</f>
        <v/>
      </c>
      <c r="C684" s="418" t="n"/>
      <c r="D684" s="418" t="n"/>
      <c r="E684" s="418" t="n"/>
      <c r="F684" s="418" t="n"/>
      <c r="G684" s="418" t="n"/>
      <c r="H684" s="418" t="n"/>
      <c r="I684" s="404">
        <f>SUM(E684:H684)</f>
        <v/>
      </c>
      <c r="J684" s="404" t="n"/>
      <c r="K684" s="404" t="n"/>
      <c r="L684" s="404" t="n"/>
      <c r="M684" s="414" t="inlineStr">
        <is>
          <t>Don't use big integer class. Write simple array computations</t>
        </is>
      </c>
      <c r="N684" s="488" t="inlineStr">
        <is>
          <t>math</t>
        </is>
      </c>
      <c r="O684" s="488" t="n">
        <v>87</v>
      </c>
      <c r="P684" s="488" t="n">
        <v>2</v>
      </c>
    </row>
    <row r="685" ht="15.75" customHeight="1" s="279">
      <c r="A685" s="420" t="inlineStr">
        <is>
          <t>Dreamoon and WiFi</t>
        </is>
      </c>
      <c r="B685" s="475">
        <f>HYPERLINK("http://codeforces.com/contest/476/problem/B","CF476-D2-B")</f>
        <v/>
      </c>
      <c r="C685" s="418" t="n"/>
      <c r="D685" s="418" t="n"/>
      <c r="E685" s="418" t="n"/>
      <c r="F685" s="418" t="n"/>
      <c r="G685" s="418" t="n"/>
      <c r="H685" s="418" t="n"/>
      <c r="I685" s="404">
        <f>SUM(E685:H685)</f>
        <v/>
      </c>
      <c r="J685" s="404" t="n"/>
      <c r="K685" s="404" t="n"/>
      <c r="L685" s="418" t="n"/>
      <c r="M685" s="475">
        <f>HYPERLINK("https://www.youtube.com/watch?v=uzA2fH9Ol7I&amp;feature=youtu.be","Video Solution - Eng Mohamed Adel")</f>
        <v/>
      </c>
      <c r="N685" s="511" t="inlineStr">
        <is>
          <t>math, combinatorics, bitmasks</t>
        </is>
      </c>
      <c r="O685" s="488" t="n">
        <v>87</v>
      </c>
      <c r="P685" s="488" t="n">
        <v>2</v>
      </c>
      <c r="Q685" s="297" t="inlineStr">
        <is>
          <t>p3</t>
        </is>
      </c>
    </row>
    <row r="686" ht="15.75" customHeight="1" s="279">
      <c r="A686" s="420" t="n"/>
      <c r="B686" s="475">
        <f>HYPERLINK("https://codeforces.com/contest/1051/problem/B", "CF1051-D2-B")</f>
        <v/>
      </c>
      <c r="C686" s="418" t="n"/>
      <c r="D686" s="418" t="n"/>
      <c r="E686" s="418" t="n"/>
      <c r="F686" s="418" t="n"/>
      <c r="G686" s="418" t="n"/>
      <c r="H686" s="418" t="n"/>
      <c r="I686" s="404">
        <f>SUM(E686:H686)</f>
        <v/>
      </c>
      <c r="J686" s="418" t="n"/>
      <c r="K686" s="418" t="n"/>
      <c r="L686" s="418" t="n"/>
      <c r="M686" s="420" t="n"/>
      <c r="N686" s="488" t="inlineStr">
        <is>
          <t>math</t>
        </is>
      </c>
      <c r="O686" s="488" t="n">
        <v>87</v>
      </c>
      <c r="P686" s="488" t="n">
        <v>2.5</v>
      </c>
    </row>
    <row r="687" ht="15.75" customHeight="1" s="279">
      <c r="A687" s="420" t="inlineStr">
        <is>
          <t>Escape</t>
        </is>
      </c>
      <c r="B687" s="475">
        <f>HYPERLINK("http://codeforces.com/contest/148/problem/B","CF148-D2-B")</f>
        <v/>
      </c>
      <c r="C687" s="418" t="n"/>
      <c r="D687" s="418" t="n"/>
      <c r="E687" s="418" t="n"/>
      <c r="F687" s="418" t="n"/>
      <c r="G687" s="418" t="n"/>
      <c r="H687" s="418" t="n"/>
      <c r="I687" s="404">
        <f>SUM(E687:H687)</f>
        <v/>
      </c>
      <c r="J687" s="404" t="n"/>
      <c r="K687" s="404" t="n"/>
      <c r="L687" s="418" t="n"/>
      <c r="M687" s="420" t="n"/>
      <c r="N687" s="488" t="inlineStr">
        <is>
          <t>math</t>
        </is>
      </c>
      <c r="O687" s="488" t="n">
        <v>87</v>
      </c>
      <c r="P687" s="488" t="n">
        <v>2.5</v>
      </c>
    </row>
    <row r="688" ht="15.75" customHeight="1" s="279">
      <c r="A688" s="420" t="inlineStr">
        <is>
          <t>Restoring Painting</t>
        </is>
      </c>
      <c r="B688" s="475">
        <f>HYPERLINK("http://codeforces.com/contest/675/problem/B","CF675-D2-B")</f>
        <v/>
      </c>
      <c r="C688" s="418" t="n"/>
      <c r="D688" s="418" t="n"/>
      <c r="E688" s="418" t="n"/>
      <c r="F688" s="418" t="n"/>
      <c r="G688" s="418" t="n"/>
      <c r="H688" s="418" t="n"/>
      <c r="I688" s="404">
        <f>SUM(E688:H688)</f>
        <v/>
      </c>
      <c r="J688" s="404" t="n"/>
      <c r="K688" s="404" t="n"/>
      <c r="L688" s="418" t="n"/>
      <c r="M688" s="420" t="n"/>
      <c r="N688" s="488" t="inlineStr">
        <is>
          <t>math</t>
        </is>
      </c>
      <c r="O688" s="488" t="n">
        <v>87</v>
      </c>
      <c r="P688" s="488" t="n">
        <v>2.5</v>
      </c>
    </row>
    <row r="689" ht="15.75" customHeight="1" s="279">
      <c r="A689" s="420" t="inlineStr">
        <is>
          <t>Caisa and Pylons</t>
        </is>
      </c>
      <c r="B689" s="475">
        <f>HYPERLINK("http://codeforces.com/contest/463/problem/B","CF463-D2-B")</f>
        <v/>
      </c>
      <c r="C689" s="418" t="n"/>
      <c r="D689" s="418" t="n"/>
      <c r="E689" s="418" t="n"/>
      <c r="F689" s="418" t="n"/>
      <c r="G689" s="418" t="n"/>
      <c r="H689" s="418" t="n"/>
      <c r="I689" s="404">
        <f>SUM(E689:H689)</f>
        <v/>
      </c>
      <c r="J689" s="404" t="n"/>
      <c r="K689" s="404" t="n"/>
      <c r="L689" s="418" t="n"/>
      <c r="M689" s="475">
        <f>HYPERLINK("https://www.youtube.com/watch?v=c6X5U5HATAA","Video Solution - Eng Muntaser Abukadeja")</f>
        <v/>
      </c>
      <c r="N689" s="488" t="inlineStr">
        <is>
          <t>math, impl</t>
        </is>
      </c>
      <c r="O689" s="488" t="n">
        <v>87</v>
      </c>
      <c r="P689" s="488" t="n">
        <v>2.5</v>
      </c>
    </row>
    <row r="690" ht="15.75" customHeight="1" s="279">
      <c r="A690" s="420" t="inlineStr">
        <is>
          <t>T-primes</t>
        </is>
      </c>
      <c r="B690" s="475">
        <f>HYPERLINK("http://codeforces.com/contest/230/problem/B","CF230-D2-B")</f>
        <v/>
      </c>
      <c r="C690" s="418" t="n"/>
      <c r="D690" s="418" t="n"/>
      <c r="E690" s="418" t="n"/>
      <c r="F690" s="418" t="n"/>
      <c r="G690" s="418" t="n"/>
      <c r="H690" s="418" t="n"/>
      <c r="I690" s="404">
        <f>SUM(E690:H690)</f>
        <v/>
      </c>
      <c r="J690" s="404" t="n"/>
      <c r="K690" s="404" t="n"/>
      <c r="L690" s="418" t="n"/>
      <c r="M690" s="420" t="n"/>
      <c r="N690" s="488" t="inlineStr">
        <is>
          <t>math, numberr theory</t>
        </is>
      </c>
      <c r="O690" s="488" t="n">
        <v>87</v>
      </c>
      <c r="P690" s="488" t="n">
        <v>2.5</v>
      </c>
    </row>
    <row r="691" ht="15.75" customHeight="1" s="279">
      <c r="A691" s="420" t="n"/>
      <c r="B691" s="475">
        <f>HYPERLINK("https://www.codechef.com/problems/GCDMOD", "CODECHEF GCDMOD")</f>
        <v/>
      </c>
      <c r="C691" s="418" t="n"/>
      <c r="D691" s="418" t="n"/>
      <c r="E691" s="418" t="n"/>
      <c r="F691" s="418" t="n"/>
      <c r="G691" s="418" t="n"/>
      <c r="H691" s="418" t="n"/>
      <c r="I691" s="404">
        <f>SUM(E691:H691)</f>
        <v/>
      </c>
      <c r="J691" s="418" t="n"/>
      <c r="K691" s="418" t="n"/>
      <c r="L691" s="418" t="n"/>
      <c r="M691" s="493">
        <f>HYPERLINK("https://github.com/tmwilliamlin168/CompetitiveProgramming/blob/master/CodeChef/GCDMOD.cpp","Sol uses __int128 to avoid overflow")</f>
        <v/>
      </c>
      <c r="N691" s="488" t="inlineStr">
        <is>
          <t>math, __int128</t>
        </is>
      </c>
      <c r="O691" s="488" t="n">
        <v>87</v>
      </c>
      <c r="P691" s="488" t="n">
        <v>3</v>
      </c>
      <c r="Q691" s="297" t="inlineStr">
        <is>
          <t>p3</t>
        </is>
      </c>
    </row>
    <row r="692" ht="15.75" customHeight="1" s="279">
      <c r="A692" s="420" t="inlineStr">
        <is>
          <t>Polycarpus' Dice</t>
        </is>
      </c>
      <c r="B692" s="475">
        <f>HYPERLINK("http://codeforces.com/contest/534/problem/C","CF534-D2-C")</f>
        <v/>
      </c>
      <c r="C692" s="418" t="n"/>
      <c r="D692" s="418" t="n"/>
      <c r="E692" s="418" t="n"/>
      <c r="F692" s="418" t="n"/>
      <c r="G692" s="418" t="n"/>
      <c r="H692" s="418" t="n"/>
      <c r="I692" s="404">
        <f>SUM(E692:H692)</f>
        <v/>
      </c>
      <c r="J692" s="404" t="n"/>
      <c r="K692" s="404" t="n"/>
      <c r="L692" s="418" t="n"/>
      <c r="M692" s="475">
        <f>HYPERLINK("https://codeforces.com/contest/534/submission/61924545","Sol")</f>
        <v/>
      </c>
      <c r="N692" s="488" t="inlineStr">
        <is>
          <t>math, greedy, careful impl</t>
        </is>
      </c>
      <c r="O692" s="488" t="n">
        <v>87</v>
      </c>
      <c r="P692" s="488" t="n">
        <v>3</v>
      </c>
      <c r="Q692" s="297" t="inlineStr">
        <is>
          <t>p3</t>
        </is>
      </c>
    </row>
    <row r="693" ht="15.75" customHeight="1" s="279">
      <c r="A693" s="420" t="n"/>
      <c r="B693" s="475">
        <f>HYPERLINK("https://codeforces.com/contest/1059/problem/C","CF1059-D2-C")</f>
        <v/>
      </c>
      <c r="C693" s="418" t="n"/>
      <c r="D693" s="418" t="n"/>
      <c r="E693" s="418" t="n"/>
      <c r="F693" s="418" t="n"/>
      <c r="G693" s="418" t="n"/>
      <c r="H693" s="418" t="n"/>
      <c r="I693" s="404">
        <f>SUM(E693:H693)</f>
        <v/>
      </c>
      <c r="J693" s="418" t="n"/>
      <c r="K693" s="418" t="n"/>
      <c r="L693" s="418" t="n"/>
      <c r="M693" s="420" t="n"/>
      <c r="N693" s="488" t="inlineStr">
        <is>
          <t>math, constructive</t>
        </is>
      </c>
      <c r="O693" s="488" t="n">
        <v>87</v>
      </c>
      <c r="P693" s="488" t="n">
        <v>4</v>
      </c>
      <c r="Q693" s="297" t="inlineStr">
        <is>
          <t>p3</t>
        </is>
      </c>
    </row>
    <row r="694" ht="15.75" customHeight="1" s="279">
      <c r="A694" s="420" t="inlineStr">
        <is>
          <t>Number Sequence</t>
        </is>
      </c>
      <c r="B694" s="475">
        <f>HYPERLINK("https://uva.onlinejudge.org/index.php?option=com_onlinejudge&amp;Itemid=8&amp;page=show_problem&amp;problem=1647","UVA 10706")</f>
        <v/>
      </c>
      <c r="C694" s="418" t="n"/>
      <c r="D694" s="418" t="n"/>
      <c r="E694" s="418" t="n"/>
      <c r="F694" s="418" t="n"/>
      <c r="G694" s="418" t="n"/>
      <c r="H694" s="418" t="n"/>
      <c r="I694" s="404">
        <f>SUM(E694:H694)</f>
        <v/>
      </c>
      <c r="J694" s="418" t="n"/>
      <c r="K694" s="418" t="n"/>
      <c r="L694" s="418" t="n"/>
      <c r="M694" s="488" t="n"/>
      <c r="N694" s="488" t="inlineStr">
        <is>
          <t>math</t>
        </is>
      </c>
      <c r="O694" s="488" t="n">
        <v>87</v>
      </c>
      <c r="P694" s="488" t="n">
        <v>4</v>
      </c>
      <c r="Q694" s="297" t="inlineStr">
        <is>
          <t>p2</t>
        </is>
      </c>
    </row>
    <row r="695" ht="15.75" customHeight="1" s="279">
      <c r="A695" s="420" t="inlineStr">
        <is>
          <t>Divisible by Seven</t>
        </is>
      </c>
      <c r="B695" s="475">
        <f>HYPERLINK("http://codeforces.com/contest/376/problem/C","CF376-D2-C")</f>
        <v/>
      </c>
      <c r="C695" s="418" t="n"/>
      <c r="D695" s="418" t="n"/>
      <c r="E695" s="418" t="n"/>
      <c r="F695" s="418" t="n"/>
      <c r="G695" s="418" t="n"/>
      <c r="H695" s="418" t="n"/>
      <c r="I695" s="404">
        <f>SUM(E695:H695)</f>
        <v/>
      </c>
      <c r="J695" s="418" t="n"/>
      <c r="K695" s="418" t="n"/>
      <c r="L695" s="418" t="n"/>
      <c r="M695" s="421" t="n"/>
      <c r="N695" s="488" t="inlineStr">
        <is>
          <t>math, number theory</t>
        </is>
      </c>
      <c r="O695" s="488" t="n">
        <v>87</v>
      </c>
      <c r="P695" s="488" t="n">
        <v>4</v>
      </c>
      <c r="Q695" s="297" t="inlineStr">
        <is>
          <t>p2</t>
        </is>
      </c>
    </row>
    <row r="696" ht="15.75" customHeight="1" s="279">
      <c r="A696" s="420" t="inlineStr">
        <is>
          <t>Fractions Again?!</t>
        </is>
      </c>
      <c r="B696" s="475">
        <f>HYPERLINK("https://uva.onlinejudge.org/index.php?option=com_onlinejudge&amp;Itemid=8&amp;page=show_problem&amp;problem=1917","UVA 10976")</f>
        <v/>
      </c>
      <c r="C696" s="418" t="n"/>
      <c r="D696" s="418" t="n"/>
      <c r="E696" s="418" t="n"/>
      <c r="F696" s="418" t="n"/>
      <c r="G696" s="418" t="n"/>
      <c r="H696" s="418" t="n"/>
      <c r="I696" s="404">
        <f>SUM(E696:H696)</f>
        <v/>
      </c>
      <c r="J696" s="404" t="n"/>
      <c r="K696" s="404" t="n"/>
      <c r="L696" s="418" t="n"/>
      <c r="M696" s="493">
        <f>HYPERLINK("https://github.com/magdy-hasan/competitive-programming/blob/master/uva-/uva%2010976%20-%20Fractions%20Again!.cpp","Sol to read")</f>
        <v/>
      </c>
      <c r="N696" s="488" t="inlineStr">
        <is>
          <t>math, number theory</t>
        </is>
      </c>
      <c r="O696" s="488" t="n">
        <v>87</v>
      </c>
      <c r="P696" s="488" t="n">
        <v>4</v>
      </c>
      <c r="Q696" s="297" t="inlineStr">
        <is>
          <t>p1</t>
        </is>
      </c>
    </row>
    <row r="697" ht="15.75" customHeight="1" s="279">
      <c r="A697" s="420" t="inlineStr">
        <is>
          <t>Plant</t>
        </is>
      </c>
      <c r="B697" s="475">
        <f>HYPERLINK("http://codeforces.com/contest/186/problem/C","CF186-D2-C")</f>
        <v/>
      </c>
      <c r="C697" s="418" t="n"/>
      <c r="D697" s="418" t="n"/>
      <c r="E697" s="418" t="n"/>
      <c r="F697" s="418" t="n"/>
      <c r="G697" s="418" t="n"/>
      <c r="H697" s="418" t="n"/>
      <c r="I697" s="404">
        <f>SUM(E697:H697)</f>
        <v/>
      </c>
      <c r="J697" s="418" t="n"/>
      <c r="K697" s="418" t="n"/>
      <c r="L697" s="418" t="n"/>
      <c r="M697" s="420" t="n"/>
      <c r="N697" s="488" t="inlineStr">
        <is>
          <t>math</t>
        </is>
      </c>
      <c r="O697" s="488" t="n">
        <v>87</v>
      </c>
      <c r="P697" s="488" t="n">
        <v>4</v>
      </c>
    </row>
    <row r="698" ht="15.75" customHeight="1" s="279">
      <c r="A698" s="420" t="inlineStr">
        <is>
          <t>Magic Formulas</t>
        </is>
      </c>
      <c r="B698" s="475">
        <f>HYPERLINK("http://codeforces.com/contest/424/problem/C","CF424-D2-C")</f>
        <v/>
      </c>
      <c r="C698" s="418" t="n"/>
      <c r="D698" s="418" t="n"/>
      <c r="E698" s="418" t="n"/>
      <c r="F698" s="418" t="n"/>
      <c r="G698" s="418" t="n"/>
      <c r="H698" s="418" t="n"/>
      <c r="I698" s="404">
        <f>SUM(E698:H698)</f>
        <v/>
      </c>
      <c r="J698" s="404" t="n"/>
      <c r="K698" s="404" t="n"/>
      <c r="L698" s="418" t="n"/>
      <c r="M698" s="420" t="n"/>
      <c r="N698" s="488" t="inlineStr">
        <is>
          <t>math</t>
        </is>
      </c>
      <c r="O698" s="488" t="n">
        <v>87</v>
      </c>
      <c r="P698" s="488" t="n">
        <v>4</v>
      </c>
    </row>
    <row r="699" ht="15.75" customHeight="1" s="279">
      <c r="A699" s="420" t="inlineStr">
        <is>
          <t>Duff in Love</t>
        </is>
      </c>
      <c r="B699" s="475">
        <f>HYPERLINK("http://codeforces.com/contest/588/problem/B","CF588-D2-B")</f>
        <v/>
      </c>
      <c r="C699" s="418" t="n"/>
      <c r="D699" s="418" t="n"/>
      <c r="E699" s="418" t="n"/>
      <c r="F699" s="418" t="n"/>
      <c r="G699" s="418" t="n"/>
      <c r="H699" s="418" t="n"/>
      <c r="I699" s="404">
        <f>SUM(E699:H699)</f>
        <v/>
      </c>
      <c r="J699" s="404" t="n"/>
      <c r="K699" s="404" t="n"/>
      <c r="L699" s="418" t="n"/>
      <c r="M699" s="420" t="n"/>
      <c r="N699" s="488" t="inlineStr">
        <is>
          <t>math</t>
        </is>
      </c>
      <c r="O699" s="488" t="n">
        <v>87</v>
      </c>
      <c r="P699" s="488" t="n">
        <v>4</v>
      </c>
    </row>
    <row r="700" ht="15.75" customHeight="1" s="279">
      <c r="A700" s="420" t="inlineStr">
        <is>
          <t>Light, more light</t>
        </is>
      </c>
      <c r="B700" s="475">
        <f>HYPERLINK("https://uva.onlinejudge.org/index.php?option=com_onlinejudge&amp;Itemid=8&amp;page=show_problem&amp;problem=1051","UVA 10110")</f>
        <v/>
      </c>
      <c r="C700" s="418" t="n"/>
      <c r="D700" s="418" t="n"/>
      <c r="E700" s="418" t="n"/>
      <c r="F700" s="418" t="n"/>
      <c r="G700" s="418" t="n"/>
      <c r="H700" s="418" t="n"/>
      <c r="I700" s="404">
        <f>SUM(E700:H700)</f>
        <v/>
      </c>
      <c r="J700" s="418" t="n"/>
      <c r="K700" s="404" t="n"/>
      <c r="L700" s="418" t="n"/>
      <c r="M700" s="421">
        <f>HYPERLINK("https://www.youtube.com/watch?v=6unjJwXC5gI&amp;feature=youtu.be","Video Solution - Eng Amr Saud")</f>
        <v/>
      </c>
      <c r="N700" s="488" t="inlineStr">
        <is>
          <t>math</t>
        </is>
      </c>
      <c r="O700" s="488" t="n">
        <v>87</v>
      </c>
      <c r="P700" s="488" t="n">
        <v>4</v>
      </c>
    </row>
    <row r="701" ht="15.75" customHeight="1" s="279">
      <c r="A701" s="420" t="inlineStr">
        <is>
          <t>Power of Cryptography</t>
        </is>
      </c>
      <c r="B701" s="475">
        <f>HYPERLINK("https://uva.onlinejudge.org/index.php?option=com_onlinejudge&amp;Itemid=8&amp;page=show_problem&amp;problem=49","UVA 113")</f>
        <v/>
      </c>
      <c r="C701" s="418" t="n"/>
      <c r="D701" s="418" t="n"/>
      <c r="E701" s="418" t="n"/>
      <c r="F701" s="418" t="n"/>
      <c r="G701" s="418" t="n"/>
      <c r="H701" s="418" t="n"/>
      <c r="I701" s="404">
        <f>SUM(E701:H701)</f>
        <v/>
      </c>
      <c r="J701" s="404" t="n"/>
      <c r="K701" s="404" t="n"/>
      <c r="L701" s="418" t="n"/>
      <c r="M701" s="315">
        <f>HYPERLINK("https://github.com/magdy-hasan/competitive-programming/blob/master/uva-/uva%20113%20-%20Power%20of%20Cryptography.cpp","Sol to read")</f>
        <v/>
      </c>
      <c r="N701" s="516" t="inlineStr">
        <is>
          <t>math, log, [double limits]</t>
        </is>
      </c>
      <c r="O701" s="488" t="n">
        <v>87</v>
      </c>
      <c r="P701" s="488" t="n">
        <v>4</v>
      </c>
      <c r="Q701" s="297" t="inlineStr">
        <is>
          <t>p3</t>
        </is>
      </c>
    </row>
    <row r="702" ht="15.75" customHeight="1" s="279">
      <c r="A702" s="420" t="inlineStr">
        <is>
          <t>Round Table Knights</t>
        </is>
      </c>
      <c r="B702" s="475">
        <f>HYPERLINK("http://codeforces.com/contest/71/problem/C","CF71-D2-C")</f>
        <v/>
      </c>
      <c r="C702" s="418" t="n"/>
      <c r="D702" s="418" t="n"/>
      <c r="E702" s="418" t="n"/>
      <c r="F702" s="418" t="n"/>
      <c r="G702" s="418" t="n"/>
      <c r="H702" s="418" t="n"/>
      <c r="I702" s="404">
        <f>SUM(E702:H702)</f>
        <v/>
      </c>
      <c r="J702" s="404" t="n"/>
      <c r="K702" s="404" t="n"/>
      <c r="L702" s="418" t="n"/>
      <c r="M702" s="488" t="n"/>
      <c r="N702" s="488" t="inlineStr">
        <is>
          <t>math or dp</t>
        </is>
      </c>
      <c r="O702" s="488" t="n">
        <v>87</v>
      </c>
      <c r="P702" s="488" t="n">
        <v>4</v>
      </c>
    </row>
    <row r="703" ht="15.75" customHeight="1" s="279">
      <c r="A703" s="420" t="inlineStr">
        <is>
          <t>Lucky Permutation Triple</t>
        </is>
      </c>
      <c r="B703" s="475">
        <f>HYPERLINK("http://codeforces.com/contest/304/problem/C","CF304-D2-C")</f>
        <v/>
      </c>
      <c r="C703" s="418" t="n"/>
      <c r="D703" s="418" t="n"/>
      <c r="E703" s="418" t="n"/>
      <c r="F703" s="418" t="n"/>
      <c r="G703" s="418" t="n"/>
      <c r="H703" s="418" t="n"/>
      <c r="I703" s="404">
        <f>SUM(E703:H703)</f>
        <v/>
      </c>
      <c r="J703" s="418" t="n"/>
      <c r="K703" s="418" t="n"/>
      <c r="L703" s="418" t="n"/>
      <c r="M703" s="420" t="n"/>
      <c r="N703" s="488" t="inlineStr">
        <is>
          <t>math, constructive</t>
        </is>
      </c>
      <c r="O703" s="488" t="n">
        <v>87</v>
      </c>
      <c r="P703" s="488" t="n">
        <v>4</v>
      </c>
    </row>
    <row r="704" ht="15.75" customHeight="1" s="279">
      <c r="A704" s="420" t="inlineStr">
        <is>
          <t>Vasya and Petya's Game</t>
        </is>
      </c>
      <c r="B704" s="475">
        <f>HYPERLINK("http://codeforces.com/contest/577/problem/C","CF577-D2-C")</f>
        <v/>
      </c>
      <c r="C704" s="418" t="n"/>
      <c r="D704" s="418" t="n"/>
      <c r="E704" s="418" t="n"/>
      <c r="F704" s="418" t="n"/>
      <c r="G704" s="418" t="n"/>
      <c r="H704" s="418" t="n"/>
      <c r="I704" s="404">
        <f>SUM(E704:H704)</f>
        <v/>
      </c>
      <c r="J704" s="404" t="n"/>
      <c r="K704" s="404" t="n"/>
      <c r="L704" s="418" t="n"/>
      <c r="M704" s="420" t="n"/>
      <c r="N704" s="488" t="inlineStr">
        <is>
          <t>math, impl</t>
        </is>
      </c>
      <c r="O704" s="488" t="n">
        <v>87</v>
      </c>
      <c r="P704" s="488" t="n">
        <v>4</v>
      </c>
      <c r="Q704" s="297" t="inlineStr">
        <is>
          <t>p2</t>
        </is>
      </c>
    </row>
    <row r="705" ht="15.75" customHeight="1" s="279">
      <c r="A705" s="420" t="n"/>
      <c r="B705" s="453">
        <f>HYPERLINK("https://codeforces.com/contest/1239/problem/A","CF1239-D1-A")</f>
        <v/>
      </c>
      <c r="C705" s="418" t="n"/>
      <c r="D705" s="418" t="n"/>
      <c r="E705" s="418" t="n"/>
      <c r="F705" s="418" t="n"/>
      <c r="G705" s="418" t="n"/>
      <c r="H705" s="418" t="n"/>
      <c r="I705" s="404">
        <f>SUM(E705:H705)</f>
        <v/>
      </c>
      <c r="J705" s="404" t="n"/>
      <c r="K705" s="404" t="n"/>
      <c r="L705" s="418" t="n"/>
      <c r="M705" s="488" t="n"/>
      <c r="N705" s="488" t="inlineStr">
        <is>
          <t>math, pattern</t>
        </is>
      </c>
      <c r="O705" s="488" t="n">
        <v>87</v>
      </c>
      <c r="P705" s="488" t="n">
        <v>4.25</v>
      </c>
      <c r="Q705" s="297" t="inlineStr">
        <is>
          <t>p3</t>
        </is>
      </c>
    </row>
    <row r="706" ht="15.75" customHeight="1" s="279">
      <c r="A706" s="420" t="inlineStr">
        <is>
          <t>The ? 1 ? 2 ? ... ? n = k problem</t>
        </is>
      </c>
      <c r="B706" s="475">
        <f>HYPERLINK("https://uva.onlinejudge.org/index.php?option=com_onlinejudge&amp;Itemid=8&amp;page=show_problem&amp;problem=966","UVA 10025")</f>
        <v/>
      </c>
      <c r="C706" s="418" t="n"/>
      <c r="D706" s="418" t="n"/>
      <c r="E706" s="418" t="n"/>
      <c r="F706" s="418" t="n"/>
      <c r="G706" s="418" t="n"/>
      <c r="H706" s="418" t="n"/>
      <c r="I706" s="404">
        <f>SUM(E706:H706)</f>
        <v/>
      </c>
      <c r="J706" s="404" t="n"/>
      <c r="K706" s="404" t="n"/>
      <c r="L706" s="418" t="n"/>
      <c r="M706" s="488" t="n"/>
      <c r="N706" s="488" t="inlineStr">
        <is>
          <t>math or binary search</t>
        </is>
      </c>
      <c r="O706" s="488" t="n">
        <v>87</v>
      </c>
      <c r="P706" s="488" t="n">
        <v>4.5</v>
      </c>
      <c r="Q706" s="297" t="inlineStr">
        <is>
          <t>p2</t>
        </is>
      </c>
    </row>
    <row r="707" ht="15.75" customHeight="1" s="279">
      <c r="A707" s="420" t="inlineStr">
        <is>
          <t>Secrets</t>
        </is>
      </c>
      <c r="B707" s="475">
        <f>HYPERLINK("http://codeforces.com/contest/334/problem/C","CF334-D2-C")</f>
        <v/>
      </c>
      <c r="C707" s="418" t="n"/>
      <c r="D707" s="418" t="n"/>
      <c r="E707" s="418" t="n"/>
      <c r="F707" s="418" t="n"/>
      <c r="G707" s="418" t="n"/>
      <c r="H707" s="418" t="n"/>
      <c r="I707" s="404">
        <f>SUM(E707:H707)</f>
        <v/>
      </c>
      <c r="J707" s="404" t="n"/>
      <c r="K707" s="404" t="n"/>
      <c r="L707" s="418" t="n"/>
      <c r="M707" s="488" t="n"/>
      <c r="N707" s="488" t="inlineStr">
        <is>
          <t>math</t>
        </is>
      </c>
      <c r="O707" s="488" t="n">
        <v>87</v>
      </c>
      <c r="P707" s="488" t="n">
        <v>4.5</v>
      </c>
    </row>
    <row r="708" ht="15.75" customHeight="1" s="279">
      <c r="A708" s="420" t="inlineStr">
        <is>
          <t>The Meaningless Game</t>
        </is>
      </c>
      <c r="B708" s="475">
        <f>HYPERLINK("http://codeforces.com/contest/834/problem/C","CF834-D2-C")</f>
        <v/>
      </c>
      <c r="C708" s="418" t="n"/>
      <c r="D708" s="418" t="n"/>
      <c r="E708" s="418" t="n"/>
      <c r="F708" s="418" t="n"/>
      <c r="G708" s="418" t="n"/>
      <c r="H708" s="418" t="n"/>
      <c r="I708" s="404">
        <f>SUM(E708:H708)</f>
        <v/>
      </c>
      <c r="J708" s="404" t="n"/>
      <c r="K708" s="404" t="n"/>
      <c r="L708" s="418" t="n"/>
      <c r="M708" s="475">
        <f>HYPERLINK("https://www.youtube.com/watch?v=tge-NMPdndc","Video Solution - Solver to be (Java)")</f>
        <v/>
      </c>
      <c r="N708" s="488" t="inlineStr">
        <is>
          <t>math</t>
        </is>
      </c>
      <c r="O708" s="488" t="n">
        <v>87</v>
      </c>
      <c r="P708" s="488" t="n">
        <v>4.5</v>
      </c>
    </row>
    <row r="709" ht="15.75" customHeight="1" s="279">
      <c r="A709" s="420" t="inlineStr">
        <is>
          <t>Find Maximum</t>
        </is>
      </c>
      <c r="B709" s="475">
        <f>HYPERLINK("http://codeforces.com/contest/353/problem/C","CF353-D2-C")</f>
        <v/>
      </c>
      <c r="C709" s="418" t="n"/>
      <c r="D709" s="418" t="n"/>
      <c r="E709" s="418" t="n"/>
      <c r="F709" s="418" t="n"/>
      <c r="G709" s="418" t="n"/>
      <c r="H709" s="418" t="n"/>
      <c r="I709" s="404">
        <f>SUM(E709:H709)</f>
        <v/>
      </c>
      <c r="J709" s="404" t="n"/>
      <c r="K709" s="404" t="n"/>
      <c r="L709" s="418" t="n"/>
      <c r="M709" s="420" t="n"/>
      <c r="N709" s="488" t="inlineStr">
        <is>
          <t>math, bits</t>
        </is>
      </c>
      <c r="O709" s="488" t="n">
        <v>87</v>
      </c>
      <c r="P709" s="488" t="n">
        <v>4.5</v>
      </c>
    </row>
    <row r="710" ht="15.75" customHeight="1" s="279">
      <c r="A710" s="420" t="inlineStr">
        <is>
          <t>Plus and Square Root</t>
        </is>
      </c>
      <c r="B710" s="475">
        <f>HYPERLINK("http://codeforces.com/contest/716/problem/C","CF716-D2-C")</f>
        <v/>
      </c>
      <c r="C710" s="418" t="n"/>
      <c r="D710" s="418" t="n"/>
      <c r="E710" s="418" t="n"/>
      <c r="F710" s="418" t="n"/>
      <c r="G710" s="418" t="n"/>
      <c r="H710" s="418" t="n"/>
      <c r="I710" s="404">
        <f>SUM(E710:H710)</f>
        <v/>
      </c>
      <c r="J710" s="404" t="n"/>
      <c r="K710" s="404" t="n"/>
      <c r="L710" s="512" t="n"/>
      <c r="M710" s="420" t="n"/>
      <c r="N710" s="488" t="inlineStr">
        <is>
          <t>math, constructive</t>
        </is>
      </c>
      <c r="O710" s="488" t="n">
        <v>87</v>
      </c>
      <c r="P710" s="488" t="n">
        <v>4.5</v>
      </c>
    </row>
    <row r="711" ht="15.75" customHeight="1" s="279">
      <c r="A711" s="420" t="inlineStr">
        <is>
          <t>Bear and Prime 100</t>
        </is>
      </c>
      <c r="B711" s="475">
        <f>HYPERLINK("http://codeforces.com/contest/680/problem/C","CF680-D2-C")</f>
        <v/>
      </c>
      <c r="C711" s="418" t="n"/>
      <c r="D711" s="418" t="n"/>
      <c r="E711" s="418" t="n"/>
      <c r="F711" s="418" t="n"/>
      <c r="G711" s="418" t="n"/>
      <c r="H711" s="418" t="n"/>
      <c r="I711" s="404">
        <f>SUM(E711:H711)</f>
        <v/>
      </c>
      <c r="J711" s="418" t="n"/>
      <c r="K711" s="418" t="n"/>
      <c r="L711" s="418" t="n"/>
      <c r="M711" s="420" t="n"/>
      <c r="N711" s="488" t="inlineStr">
        <is>
          <t>math, constructive, interactive</t>
        </is>
      </c>
      <c r="O711" s="488" t="n">
        <v>87</v>
      </c>
      <c r="P711" s="488" t="n">
        <v>4.5</v>
      </c>
    </row>
    <row r="712" ht="15.75" customHeight="1" s="279">
      <c r="A712" s="420" t="n"/>
      <c r="B712" s="475">
        <f>HYPERLINK("http://codeforces.com/contest/1040/problem/D","CF1040-D2-D")</f>
        <v/>
      </c>
      <c r="C712" s="418" t="n"/>
      <c r="D712" s="418" t="n"/>
      <c r="E712" s="418" t="n"/>
      <c r="F712" s="418" t="n"/>
      <c r="G712" s="418" t="n"/>
      <c r="H712" s="418" t="n"/>
      <c r="I712" s="404">
        <f>SUM(E712:H712)</f>
        <v/>
      </c>
      <c r="J712" s="418" t="n"/>
      <c r="K712" s="418" t="n"/>
      <c r="L712" s="418" t="n"/>
      <c r="M712" s="421" t="n"/>
      <c r="N712" s="488" t="inlineStr">
        <is>
          <t>math, randomization, binary search, interactive</t>
        </is>
      </c>
      <c r="O712" s="488" t="n">
        <v>87</v>
      </c>
      <c r="P712" s="488" t="n">
        <v>5</v>
      </c>
      <c r="Q712" s="297" t="inlineStr">
        <is>
          <t>p4</t>
        </is>
      </c>
    </row>
    <row r="713" ht="15.75" customHeight="1" s="279">
      <c r="A713" s="420" t="inlineStr">
        <is>
          <t>Count Good Substrings</t>
        </is>
      </c>
      <c r="B713" s="475">
        <f>HYPERLINK("http://codeforces.com/contest/451/problem/D","CF451-D2-D")</f>
        <v/>
      </c>
      <c r="C713" s="418" t="n"/>
      <c r="D713" s="418" t="n"/>
      <c r="E713" s="418" t="n"/>
      <c r="F713" s="418" t="n"/>
      <c r="G713" s="418" t="n"/>
      <c r="H713" s="418" t="n"/>
      <c r="I713" s="404">
        <f>SUM(E713:H713)</f>
        <v/>
      </c>
      <c r="J713" s="404" t="n"/>
      <c r="K713" s="404" t="n"/>
      <c r="L713" s="418" t="n"/>
      <c r="M713" s="420" t="n"/>
      <c r="N713" s="488" t="inlineStr">
        <is>
          <t>math, adhoc, palyndromes, [short code]</t>
        </is>
      </c>
      <c r="O713" s="488" t="n">
        <v>87</v>
      </c>
      <c r="P713" s="488" t="n">
        <v>5</v>
      </c>
      <c r="Q713" s="297" t="inlineStr">
        <is>
          <t>p3</t>
        </is>
      </c>
    </row>
    <row r="714" ht="15.75" customHeight="1" s="279">
      <c r="A714" s="420" t="inlineStr">
        <is>
          <t>Tavas and Karafs</t>
        </is>
      </c>
      <c r="B714" s="475">
        <f>HYPERLINK("http://codeforces.com/contest/535/problem/C","CF535-D2-C")</f>
        <v/>
      </c>
      <c r="C714" s="418" t="n"/>
      <c r="D714" s="418" t="n"/>
      <c r="E714" s="418" t="n"/>
      <c r="F714" s="418" t="n"/>
      <c r="G714" s="418" t="n"/>
      <c r="H714" s="418" t="n"/>
      <c r="I714" s="404">
        <f>SUM(E714:H714)</f>
        <v/>
      </c>
      <c r="J714" s="404" t="n"/>
      <c r="K714" s="404" t="n"/>
      <c r="L714" s="418" t="n"/>
      <c r="M714" s="420" t="n"/>
      <c r="N714" s="488" t="inlineStr">
        <is>
          <t>math, binary search</t>
        </is>
      </c>
      <c r="O714" s="488" t="n">
        <v>87</v>
      </c>
      <c r="P714" s="488" t="n">
        <v>5</v>
      </c>
      <c r="Q714" s="297" t="inlineStr">
        <is>
          <t>p2</t>
        </is>
      </c>
    </row>
    <row r="715" ht="15.75" customHeight="1" s="279">
      <c r="A715" s="420" t="inlineStr">
        <is>
          <t>As Fast As Possible</t>
        </is>
      </c>
      <c r="B715" s="475">
        <f>HYPERLINK("http://codeforces.com/contest/701/problem/D","CF701-D2-D")</f>
        <v/>
      </c>
      <c r="C715" s="418" t="n"/>
      <c r="D715" s="418" t="n"/>
      <c r="E715" s="418" t="n"/>
      <c r="F715" s="418" t="n"/>
      <c r="G715" s="418" t="n"/>
      <c r="H715" s="418" t="n"/>
      <c r="I715" s="404">
        <f>SUM(E715:H715)</f>
        <v/>
      </c>
      <c r="J715" s="418" t="n"/>
      <c r="K715" s="418" t="n"/>
      <c r="L715" s="418" t="n"/>
      <c r="M715" s="420" t="n"/>
      <c r="N715" s="488" t="inlineStr">
        <is>
          <t>math, binary search, precision</t>
        </is>
      </c>
      <c r="O715" s="488" t="n">
        <v>87</v>
      </c>
      <c r="P715" s="488" t="n">
        <v>5</v>
      </c>
      <c r="Q715" s="297" t="inlineStr">
        <is>
          <t>p2</t>
        </is>
      </c>
    </row>
    <row r="716" ht="15.75" customHeight="1" s="279">
      <c r="A716" s="420" t="n"/>
      <c r="B716" s="475">
        <f>HYPERLINK("http://codeforces.com/problemset/problem/955/C","CF955-D2-C")</f>
        <v/>
      </c>
      <c r="C716" s="418" t="n"/>
      <c r="D716" s="418" t="n"/>
      <c r="E716" s="418" t="n"/>
      <c r="F716" s="418" t="n"/>
      <c r="G716" s="418" t="n"/>
      <c r="H716" s="418" t="n"/>
      <c r="I716" s="404">
        <f>SUM(E716:H716)</f>
        <v/>
      </c>
      <c r="J716" s="404" t="n"/>
      <c r="K716" s="404" t="n"/>
      <c r="L716" s="418" t="n"/>
      <c r="M716" s="488" t="n"/>
      <c r="N716" s="488" t="inlineStr">
        <is>
          <t>math, number theory</t>
        </is>
      </c>
      <c r="O716" s="488" t="n">
        <v>87</v>
      </c>
      <c r="P716" s="488" t="n">
        <v>5</v>
      </c>
      <c r="Q716" s="297" t="inlineStr">
        <is>
          <t>p2</t>
        </is>
      </c>
    </row>
    <row r="717" ht="15.75" customHeight="1" s="279">
      <c r="A717" s="420" t="n"/>
      <c r="B717" s="475">
        <f>HYPERLINK("http://codeforces.com/contest/45/problem/D","CF45-D12-D")</f>
        <v/>
      </c>
      <c r="C717" s="418" t="n"/>
      <c r="D717" s="418" t="n"/>
      <c r="E717" s="418" t="n"/>
      <c r="F717" s="418" t="n"/>
      <c r="G717" s="418" t="n"/>
      <c r="H717" s="418" t="n"/>
      <c r="I717" s="404">
        <f>SUM(E717:H717)</f>
        <v/>
      </c>
      <c r="J717" s="404" t="n"/>
      <c r="K717" s="404" t="n"/>
      <c r="L717" s="418" t="n"/>
      <c r="M717" s="420" t="n"/>
      <c r="N717" s="488" t="inlineStr">
        <is>
          <t>math, randomization</t>
        </is>
      </c>
      <c r="O717" s="488" t="n">
        <v>87</v>
      </c>
      <c r="P717" s="488" t="n">
        <v>5</v>
      </c>
      <c r="Q717" s="297" t="inlineStr">
        <is>
          <t>p2</t>
        </is>
      </c>
    </row>
    <row r="718" ht="15.75" customHeight="1" s="279">
      <c r="A718" s="420" t="inlineStr">
        <is>
          <t>Ciel and Robot</t>
        </is>
      </c>
      <c r="B718" s="475">
        <f>HYPERLINK("http://codeforces.com/contest/322/problem/C","CF322-D2-C")</f>
        <v/>
      </c>
      <c r="C718" s="418" t="n"/>
      <c r="D718" s="418" t="n"/>
      <c r="E718" s="418" t="n"/>
      <c r="F718" s="418" t="n"/>
      <c r="G718" s="418" t="n"/>
      <c r="H718" s="418" t="n"/>
      <c r="I718" s="404">
        <f>SUM(E718:H718)</f>
        <v/>
      </c>
      <c r="J718" s="404" t="n"/>
      <c r="K718" s="404" t="n"/>
      <c r="L718" s="512" t="n"/>
      <c r="M718" s="420" t="n"/>
      <c r="N718" s="488" t="inlineStr">
        <is>
          <t>math, impl, [cases]</t>
        </is>
      </c>
      <c r="O718" s="488" t="n">
        <v>87</v>
      </c>
      <c r="P718" s="488" t="n">
        <v>5</v>
      </c>
      <c r="Q718" s="297" t="inlineStr">
        <is>
          <t>p1</t>
        </is>
      </c>
    </row>
    <row r="719" ht="15.75" customHeight="1" s="279">
      <c r="A719" s="420" t="inlineStr">
        <is>
          <t>Crazy Town</t>
        </is>
      </c>
      <c r="B719" s="475">
        <f>HYPERLINK("http://codeforces.com/contest/499/problem/C","CF499-D2-C")</f>
        <v/>
      </c>
      <c r="C719" s="418" t="n"/>
      <c r="D719" s="418" t="n"/>
      <c r="E719" s="418" t="n"/>
      <c r="F719" s="418" t="n"/>
      <c r="G719" s="418" t="n"/>
      <c r="H719" s="418" t="n"/>
      <c r="I719" s="404">
        <f>SUM(E719:H719)</f>
        <v/>
      </c>
      <c r="J719" s="418" t="n"/>
      <c r="K719" s="418" t="n"/>
      <c r="L719" s="418" t="n"/>
      <c r="M719" s="421">
        <f>HYPERLINK("https://www.youtube.com/watch?v=xwaGi6lx6Fg","Video Solution - Dr Mostafa Saad")</f>
        <v/>
      </c>
      <c r="N719" s="488" t="inlineStr">
        <is>
          <t>math, number theory, greedy</t>
        </is>
      </c>
      <c r="O719" s="488" t="n">
        <v>87</v>
      </c>
      <c r="P719" s="488" t="n">
        <v>5</v>
      </c>
      <c r="Q719" s="297" t="inlineStr">
        <is>
          <t>p1</t>
        </is>
      </c>
    </row>
    <row r="720" ht="15.75" customHeight="1" s="279">
      <c r="A720" s="420" t="inlineStr">
        <is>
          <t>About Bacteria</t>
        </is>
      </c>
      <c r="B720" s="475">
        <f>HYPERLINK("http://codeforces.com/contest/199/problem/C","CF199-D2-C")</f>
        <v/>
      </c>
      <c r="C720" s="418" t="n"/>
      <c r="D720" s="418" t="n"/>
      <c r="E720" s="418" t="n"/>
      <c r="F720" s="418" t="n"/>
      <c r="G720" s="418" t="n"/>
      <c r="H720" s="418" t="n"/>
      <c r="I720" s="404">
        <f>SUM(E720:H720)</f>
        <v/>
      </c>
      <c r="J720" s="418" t="n"/>
      <c r="K720" s="418" t="n"/>
      <c r="L720" s="418" t="n"/>
      <c r="M720" s="420" t="n"/>
      <c r="N720" s="488" t="inlineStr">
        <is>
          <t>math</t>
        </is>
      </c>
      <c r="O720" s="488" t="n">
        <v>87</v>
      </c>
      <c r="P720" s="488" t="n">
        <v>5</v>
      </c>
    </row>
    <row r="721" ht="15.75" customHeight="1" s="279">
      <c r="A721" s="420" t="inlineStr">
        <is>
          <t>DNA Alignment</t>
        </is>
      </c>
      <c r="B721" s="475">
        <f>HYPERLINK("http://codeforces.com/contest/520/problem/C","CF520-D2-C")</f>
        <v/>
      </c>
      <c r="C721" s="418" t="n"/>
      <c r="D721" s="418" t="n"/>
      <c r="E721" s="418" t="n"/>
      <c r="F721" s="418" t="n"/>
      <c r="G721" s="418" t="n"/>
      <c r="H721" s="418" t="n"/>
      <c r="I721" s="404">
        <f>SUM(E721:H721)</f>
        <v/>
      </c>
      <c r="J721" s="418" t="n"/>
      <c r="K721" s="418" t="n"/>
      <c r="L721" s="418" t="n"/>
      <c r="M721" s="420" t="n"/>
      <c r="N721" s="488" t="inlineStr">
        <is>
          <t>math</t>
        </is>
      </c>
      <c r="O721" s="488" t="n">
        <v>87</v>
      </c>
      <c r="P721" s="488" t="n">
        <v>5</v>
      </c>
    </row>
    <row r="722" ht="15.75" customHeight="1" s="279">
      <c r="A722" s="420" t="inlineStr">
        <is>
          <t>Predict Outcome of the Game</t>
        </is>
      </c>
      <c r="B722" s="475">
        <f>HYPERLINK("http://codeforces.com/contest/451/problem/C","CF451-D2-C")</f>
        <v/>
      </c>
      <c r="C722" s="418" t="n"/>
      <c r="D722" s="418" t="n"/>
      <c r="E722" s="418" t="n"/>
      <c r="F722" s="418" t="n"/>
      <c r="G722" s="418" t="n"/>
      <c r="H722" s="418" t="n"/>
      <c r="I722" s="404">
        <f>SUM(E722:H722)</f>
        <v/>
      </c>
      <c r="J722" s="404" t="n"/>
      <c r="K722" s="404" t="n"/>
      <c r="L722" s="418" t="n"/>
      <c r="M722" s="420" t="n"/>
      <c r="N722" s="488" t="inlineStr">
        <is>
          <t>math, equations, impl</t>
        </is>
      </c>
      <c r="O722" s="488" t="n">
        <v>87</v>
      </c>
      <c r="P722" s="488" t="n">
        <v>5</v>
      </c>
      <c r="Q722" s="297" t="inlineStr">
        <is>
          <t>p2</t>
        </is>
      </c>
    </row>
    <row r="723" ht="15.75" customHeight="1" s="279">
      <c r="A723" s="420" t="inlineStr">
        <is>
          <t>Analyzing Polyline</t>
        </is>
      </c>
      <c r="B723" s="475">
        <f>HYPERLINK("http://codeforces.com/contest/195/problem/D","CF195-D2-D")</f>
        <v/>
      </c>
      <c r="C723" s="418" t="n"/>
      <c r="D723" s="418" t="n"/>
      <c r="E723" s="418" t="n"/>
      <c r="F723" s="418" t="n"/>
      <c r="G723" s="418" t="n"/>
      <c r="H723" s="418" t="n"/>
      <c r="I723" s="404">
        <f>SUM(E723:H723)</f>
        <v/>
      </c>
      <c r="J723" s="404" t="n"/>
      <c r="K723" s="404" t="n"/>
      <c r="L723" s="418" t="n"/>
      <c r="M723" s="420" t="n"/>
      <c r="N723" s="488" t="inlineStr">
        <is>
          <t>math, sortings</t>
        </is>
      </c>
      <c r="O723" s="488" t="n">
        <v>87</v>
      </c>
      <c r="P723" s="488" t="n">
        <v>5</v>
      </c>
    </row>
    <row r="724" ht="15.75" customHeight="1" s="279">
      <c r="A724" s="420" t="n"/>
      <c r="B724" s="475">
        <f>HYPERLINK("http://codeforces.com/problemset/problem/1016/D","CF1016-D12-D")</f>
        <v/>
      </c>
      <c r="C724" s="418" t="n"/>
      <c r="D724" s="418" t="n"/>
      <c r="E724" s="418" t="n"/>
      <c r="F724" s="418" t="n"/>
      <c r="G724" s="418" t="n"/>
      <c r="H724" s="418" t="n"/>
      <c r="I724" s="404">
        <f>SUM(E724:H724)</f>
        <v/>
      </c>
      <c r="J724" s="418" t="n"/>
      <c r="K724" s="418" t="n"/>
      <c r="L724" s="418" t="n"/>
      <c r="M724" s="488" t="n"/>
      <c r="N724" s="488" t="inlineStr">
        <is>
          <t>math, xor, bitwise, constructive</t>
        </is>
      </c>
      <c r="O724" s="488" t="n">
        <v>87</v>
      </c>
      <c r="P724" s="488" t="n">
        <v>5.25</v>
      </c>
      <c r="Q724" s="297" t="inlineStr">
        <is>
          <t>p3</t>
        </is>
      </c>
    </row>
    <row r="725" ht="15.75" customHeight="1" s="279">
      <c r="A725" s="420" t="inlineStr">
        <is>
          <t>Quantity of Strings</t>
        </is>
      </c>
      <c r="B725" s="475">
        <f>HYPERLINK("http://codeforces.com/contest/151/problem/D","CF151-D2-D")</f>
        <v/>
      </c>
      <c r="C725" s="418" t="n"/>
      <c r="D725" s="418" t="n"/>
      <c r="E725" s="418" t="n"/>
      <c r="F725" s="418" t="n"/>
      <c r="G725" s="418" t="n"/>
      <c r="H725" s="418" t="n"/>
      <c r="I725" s="404">
        <f>SUM(E725:H725)</f>
        <v/>
      </c>
      <c r="J725" s="404" t="n"/>
      <c r="K725" s="404" t="n"/>
      <c r="L725" s="418" t="n"/>
      <c r="M725" s="420" t="n"/>
      <c r="N725" s="516" t="inlineStr">
        <is>
          <t>math, repeated squaring, graph</t>
        </is>
      </c>
      <c r="O725" s="488" t="n">
        <v>87</v>
      </c>
      <c r="P725" s="488" t="n">
        <v>5.5</v>
      </c>
      <c r="Q725" s="297" t="inlineStr">
        <is>
          <t>p4</t>
        </is>
      </c>
    </row>
    <row r="726" ht="15.75" customHeight="1" s="279">
      <c r="A726" s="420" t="inlineStr">
        <is>
          <t>How many trees?</t>
        </is>
      </c>
      <c r="B726" s="475">
        <f>HYPERLINK("http://codeforces.com/contest/9/problem/D","CF9-D2-D")</f>
        <v/>
      </c>
      <c r="C726" s="418" t="n"/>
      <c r="D726" s="418" t="n"/>
      <c r="E726" s="418" t="n"/>
      <c r="F726" s="418" t="n"/>
      <c r="G726" s="418" t="n"/>
      <c r="H726" s="418" t="n"/>
      <c r="I726" s="404">
        <f>SUM(E726:H726)</f>
        <v/>
      </c>
      <c r="J726" s="418" t="n"/>
      <c r="K726" s="418" t="n"/>
      <c r="L726" s="512" t="n"/>
      <c r="M726" s="488" t="n"/>
      <c r="N726" s="488" t="inlineStr">
        <is>
          <t>math or dp_tree</t>
        </is>
      </c>
      <c r="O726" s="488" t="n">
        <v>87</v>
      </c>
      <c r="P726" s="488" t="n">
        <v>5.5</v>
      </c>
      <c r="Q726" s="297" t="inlineStr">
        <is>
          <t>p2</t>
        </is>
      </c>
    </row>
    <row r="727" ht="15.75" customHeight="1" s="279">
      <c r="A727" s="420" t="inlineStr">
        <is>
          <t>The Errant Physicist</t>
        </is>
      </c>
      <c r="B727" s="475">
        <f>HYPERLINK("https://uva.onlinejudge.org/index.php?option=com_onlinejudge&amp;Itemid=8&amp;page=show_problem&amp;problem=62","UVA 126")</f>
        <v/>
      </c>
      <c r="C727" s="418" t="n"/>
      <c r="D727" s="418" t="n"/>
      <c r="E727" s="418" t="n"/>
      <c r="F727" s="418" t="n"/>
      <c r="G727" s="418" t="n"/>
      <c r="H727" s="418" t="n"/>
      <c r="I727" s="404">
        <f>SUM(E727:H727)</f>
        <v/>
      </c>
      <c r="J727" s="404" t="n"/>
      <c r="K727" s="404" t="n"/>
      <c r="L727" s="512" t="n"/>
      <c r="M727" s="493">
        <f>HYPERLINK("https://github.com/abdullaAshraf/Problem-Solving/blob/master/UVA/126.cpp","Sol")</f>
        <v/>
      </c>
      <c r="N727" s="488" t="inlineStr">
        <is>
          <t>math</t>
        </is>
      </c>
      <c r="O727" s="488" t="n">
        <v>87</v>
      </c>
      <c r="P727" s="488" t="n">
        <v>5.5</v>
      </c>
    </row>
    <row r="728" ht="15.75" customHeight="1" s="279">
      <c r="A728" s="420" t="inlineStr">
        <is>
          <t>Software CRC</t>
        </is>
      </c>
      <c r="B728" s="475">
        <f>HYPERLINK("https://uva.onlinejudge.org/index.php?option=com_onlinejudge&amp;Itemid=8&amp;page=show_problem&amp;problem=64","UVA 128")</f>
        <v/>
      </c>
      <c r="C728" s="418" t="n"/>
      <c r="D728" s="418" t="n"/>
      <c r="E728" s="418" t="n"/>
      <c r="F728" s="418" t="n"/>
      <c r="G728" s="418" t="n"/>
      <c r="H728" s="418" t="n"/>
      <c r="I728" s="404">
        <f>SUM(E728:H728)</f>
        <v/>
      </c>
      <c r="J728" s="404" t="n"/>
      <c r="K728" s="404" t="n"/>
      <c r="L728" s="418" t="n"/>
      <c r="M728" s="421">
        <f>HYPERLINK("https://www.youtube.com/watch?v=ifTqIif9WJg","Video Solution - Eng Moaz Rashad")</f>
        <v/>
      </c>
      <c r="N728" s="488" t="inlineStr">
        <is>
          <t>math</t>
        </is>
      </c>
      <c r="O728" s="488" t="n">
        <v>87</v>
      </c>
      <c r="P728" s="488" t="n">
        <v>5.5</v>
      </c>
    </row>
    <row r="729" ht="15.75" customHeight="1" s="279">
      <c r="A729" s="420" t="inlineStr">
        <is>
          <t>Jeff and Furik</t>
        </is>
      </c>
      <c r="B729" s="475">
        <f>HYPERLINK("http://codeforces.com/contest/352/problem/D","CF352-D2-D")</f>
        <v/>
      </c>
      <c r="C729" s="418" t="n"/>
      <c r="D729" s="418" t="n"/>
      <c r="E729" s="418" t="n"/>
      <c r="F729" s="418" t="n"/>
      <c r="G729" s="418" t="n"/>
      <c r="H729" s="418" t="n"/>
      <c r="I729" s="404">
        <f>SUM(E729:H729)</f>
        <v/>
      </c>
      <c r="J729" s="404" t="n"/>
      <c r="K729" s="404" t="n"/>
      <c r="L729" s="418" t="n"/>
      <c r="M729" s="493">
        <f>HYPERLINK("https://github.com/BRAINOOOO/CompetitiveProgramming/blob/0577cb43f4a000eca9870ccc375c95381224aed1/CF/CF352-D2-D","Sol")</f>
        <v/>
      </c>
      <c r="N729" s="488" t="inlineStr">
        <is>
          <t>math or dp_expectation</t>
        </is>
      </c>
      <c r="O729" s="488" t="n">
        <v>87</v>
      </c>
      <c r="P729" s="488" t="n">
        <v>6</v>
      </c>
      <c r="Q729" s="297" t="inlineStr">
        <is>
          <t>p3</t>
        </is>
      </c>
    </row>
    <row r="730" ht="15.75" customHeight="1" s="279">
      <c r="A730" s="420" t="inlineStr">
        <is>
          <t>Magical Array</t>
        </is>
      </c>
      <c r="B730" s="475">
        <f>HYPERLINK("http://codeforces.com/contest/84/problem/B","CF84-D2-B")</f>
        <v/>
      </c>
      <c r="C730" s="418" t="n"/>
      <c r="D730" s="418" t="n"/>
      <c r="E730" s="418" t="n"/>
      <c r="F730" s="418" t="n"/>
      <c r="G730" s="418" t="n"/>
      <c r="H730" s="418" t="n"/>
      <c r="I730" s="404">
        <f>SUM(E730:H730)</f>
        <v/>
      </c>
      <c r="J730" s="404" t="n"/>
      <c r="K730" s="404" t="n"/>
      <c r="L730" s="418" t="n"/>
      <c r="M730" s="420" t="n"/>
      <c r="N730" s="488" t="inlineStr">
        <is>
          <t>math, combinatorics</t>
        </is>
      </c>
      <c r="O730" s="488" t="n">
        <v>89</v>
      </c>
      <c r="P730" s="488" t="n">
        <v>2.5</v>
      </c>
    </row>
    <row r="731" ht="15.75" customHeight="1" s="279">
      <c r="A731" s="420" t="inlineStr">
        <is>
          <t>Chocolate</t>
        </is>
      </c>
      <c r="B731" s="475">
        <f>HYPERLINK("http://codeforces.com/contest/617/problem/B","CF617-D2-B")</f>
        <v/>
      </c>
      <c r="C731" s="418" t="n"/>
      <c r="D731" s="418" t="n"/>
      <c r="E731" s="418" t="n"/>
      <c r="F731" s="418" t="n"/>
      <c r="G731" s="418" t="n"/>
      <c r="H731" s="418" t="n"/>
      <c r="I731" s="404">
        <f>SUM(E731:H731)</f>
        <v/>
      </c>
      <c r="J731" s="404" t="n"/>
      <c r="K731" s="404" t="n"/>
      <c r="L731" s="418" t="n"/>
      <c r="M731" s="475">
        <f>HYPERLINK("https://www.youtube.com/watch?v=APkfGgJJVCc","Video Solution - Eng Yahia Ashraf")</f>
        <v/>
      </c>
      <c r="N731" s="488" t="inlineStr">
        <is>
          <t>math, combinatorics</t>
        </is>
      </c>
      <c r="O731" s="488" t="n">
        <v>89</v>
      </c>
      <c r="P731" s="488" t="n">
        <v>2.5</v>
      </c>
    </row>
    <row r="732" ht="15.75" customHeight="1" s="279">
      <c r="A732" s="420" t="inlineStr">
        <is>
          <t>Colorful Field</t>
        </is>
      </c>
      <c r="B732" s="475">
        <f>HYPERLINK("http://codeforces.com/contest/79/problem/B","CF79-D12-B")</f>
        <v/>
      </c>
      <c r="C732" s="418" t="n"/>
      <c r="D732" s="418" t="n"/>
      <c r="E732" s="418" t="n"/>
      <c r="F732" s="418" t="n"/>
      <c r="G732" s="418" t="n"/>
      <c r="H732" s="418" t="n"/>
      <c r="I732" s="404">
        <f>SUM(E732:H732)</f>
        <v/>
      </c>
      <c r="J732" s="404" t="n"/>
      <c r="K732" s="404" t="n"/>
      <c r="L732" s="418" t="n"/>
      <c r="M732" s="475">
        <f>HYPERLINK("https://www.youtube.com/watch?v=QIANdSy3nQg","Video Solution - Solver to be (Java)")</f>
        <v/>
      </c>
      <c r="N732" s="511" t="inlineStr">
        <is>
          <t>math, mod</t>
        </is>
      </c>
      <c r="O732" s="488" t="n">
        <v>89</v>
      </c>
      <c r="P732" s="488" t="n">
        <v>2.5</v>
      </c>
      <c r="Q732" s="297" t="inlineStr">
        <is>
          <t>p3</t>
        </is>
      </c>
    </row>
    <row r="733" ht="15.75" customHeight="1" s="279">
      <c r="A733" s="420" t="inlineStr">
        <is>
          <t>The World is a Theatre</t>
        </is>
      </c>
      <c r="B733" s="475">
        <f>HYPERLINK("http://codeforces.com/contest/131/problem/C","CF131-D2-C")</f>
        <v/>
      </c>
      <c r="C733" s="418" t="n"/>
      <c r="D733" s="418" t="n"/>
      <c r="E733" s="418" t="n"/>
      <c r="F733" s="418" t="n"/>
      <c r="G733" s="418" t="n"/>
      <c r="H733" s="418" t="n"/>
      <c r="I733" s="404">
        <f>SUM(E733:H733)</f>
        <v/>
      </c>
      <c r="J733" s="418" t="n"/>
      <c r="K733" s="418" t="n"/>
      <c r="L733" s="418" t="n"/>
      <c r="M733" s="421">
        <f>HYPERLINK("https://www.youtube.com/watch?v=96OYl0On3hc","Video Solution - Eng Youssef Ali")</f>
        <v/>
      </c>
      <c r="N733" s="488" t="inlineStr">
        <is>
          <t>math, combinatorics</t>
        </is>
      </c>
      <c r="O733" s="488" t="n">
        <v>89</v>
      </c>
      <c r="P733" s="488" t="n">
        <v>4</v>
      </c>
    </row>
    <row r="734" ht="15.75" customHeight="1" s="279">
      <c r="A734" s="420" t="inlineStr">
        <is>
          <t>Pocket Book</t>
        </is>
      </c>
      <c r="B734" s="475">
        <f>HYPERLINK("http://codeforces.com/contest/152/problem/C","CF152-D2-C")</f>
        <v/>
      </c>
      <c r="C734" s="418" t="n"/>
      <c r="D734" s="418" t="n"/>
      <c r="E734" s="418" t="n"/>
      <c r="F734" s="418" t="n"/>
      <c r="G734" s="418" t="n"/>
      <c r="H734" s="418" t="n"/>
      <c r="I734" s="404">
        <f>SUM(E734:H734)</f>
        <v/>
      </c>
      <c r="J734" s="418" t="n"/>
      <c r="K734" s="418" t="n"/>
      <c r="L734" s="418" t="n"/>
      <c r="M734" s="420" t="n"/>
      <c r="N734" s="488" t="inlineStr">
        <is>
          <t>math, combinatorics</t>
        </is>
      </c>
      <c r="O734" s="488" t="n">
        <v>89</v>
      </c>
      <c r="P734" s="488" t="n">
        <v>4</v>
      </c>
    </row>
    <row r="735" ht="15.75" customHeight="1" s="279">
      <c r="A735" s="420" t="inlineStr">
        <is>
          <t>Black and white painting</t>
        </is>
      </c>
      <c r="B735" s="475">
        <f>HYPERLINK("https://uva.onlinejudge.org/index.php?option=onlinejudge&amp;page=show_problem&amp;problem=2172","UVA 11231")</f>
        <v/>
      </c>
      <c r="C735" s="418" t="n"/>
      <c r="D735" s="418" t="n"/>
      <c r="E735" s="418" t="n"/>
      <c r="F735" s="418" t="n"/>
      <c r="G735" s="418" t="n"/>
      <c r="H735" s="418" t="n"/>
      <c r="I735" s="404">
        <f>SUM(E735:H735)</f>
        <v/>
      </c>
      <c r="J735" s="418" t="n"/>
      <c r="K735" s="404" t="n"/>
      <c r="L735" s="418" t="n"/>
      <c r="M735" s="421">
        <f>HYPERLINK("https://www.youtube.com/watch?v=UNUD8qp33ic&amp;feature=youtu.be","Video Solution - Eng Amr Saud")</f>
        <v/>
      </c>
      <c r="N735" s="488" t="inlineStr">
        <is>
          <t>math, combinatorics, counting</t>
        </is>
      </c>
      <c r="O735" s="488" t="n">
        <v>89</v>
      </c>
      <c r="P735" s="488" t="n">
        <v>4</v>
      </c>
    </row>
    <row r="736" ht="15.75" customHeight="1" s="279">
      <c r="A736" s="420" t="n"/>
      <c r="B736" s="475">
        <f>HYPERLINK("http://codeforces.com/contest/758/problem/C","CF758-D2-C")</f>
        <v/>
      </c>
      <c r="C736" s="418" t="n"/>
      <c r="D736" s="418" t="n"/>
      <c r="E736" s="418" t="n"/>
      <c r="F736" s="418" t="n"/>
      <c r="G736" s="418" t="n"/>
      <c r="H736" s="418" t="n"/>
      <c r="I736" s="404">
        <f>SUM(E736:H736)</f>
        <v/>
      </c>
      <c r="J736" s="404" t="n"/>
      <c r="K736" s="404" t="n"/>
      <c r="L736" s="418" t="n"/>
      <c r="M736" s="420" t="n"/>
      <c r="N736" s="488" t="inlineStr">
        <is>
          <t>math, combinatorics</t>
        </is>
      </c>
      <c r="O736" s="488" t="n">
        <v>89</v>
      </c>
      <c r="P736" s="488" t="n">
        <v>5</v>
      </c>
      <c r="Q736" s="297" t="inlineStr">
        <is>
          <t>p3</t>
        </is>
      </c>
    </row>
    <row r="737" ht="15.75" customHeight="1" s="279">
      <c r="A737" s="420" t="n"/>
      <c r="B737" s="475">
        <f>HYPERLINK("http://codeforces.com/contest/459/problem/C","CF459-D2-C")</f>
        <v/>
      </c>
      <c r="C737" s="418" t="n"/>
      <c r="D737" s="418" t="n"/>
      <c r="E737" s="418" t="n"/>
      <c r="F737" s="418" t="n"/>
      <c r="G737" s="418" t="n"/>
      <c r="H737" s="418" t="n"/>
      <c r="I737" s="404">
        <f>SUM(E737:H737)</f>
        <v/>
      </c>
      <c r="J737" s="418" t="n"/>
      <c r="K737" s="418" t="n"/>
      <c r="L737" s="418" t="n"/>
      <c r="M737" s="420" t="n"/>
      <c r="N737" s="488" t="inlineStr">
        <is>
          <t>math, combinatorics, constructive</t>
        </is>
      </c>
      <c r="O737" s="488" t="n">
        <v>89</v>
      </c>
      <c r="P737" s="488" t="n">
        <v>5</v>
      </c>
      <c r="Q737" s="297" t="inlineStr">
        <is>
          <t>p3</t>
        </is>
      </c>
    </row>
    <row r="738" ht="15.75" customHeight="1" s="279">
      <c r="A738" s="420" t="n"/>
      <c r="B738" s="475">
        <f>HYPERLINK("https://www.hackerrank.com/challenges/ajourney","HACKR ajourney")</f>
        <v/>
      </c>
      <c r="C738" s="418" t="n"/>
      <c r="D738" s="418" t="n"/>
      <c r="E738" s="418" t="n"/>
      <c r="F738" s="418" t="n"/>
      <c r="G738" s="418" t="n"/>
      <c r="H738" s="418" t="n"/>
      <c r="I738" s="404">
        <f>SUM(E738:H738)</f>
        <v/>
      </c>
      <c r="J738" s="418" t="n"/>
      <c r="K738" s="418" t="n"/>
      <c r="L738" s="512" t="n"/>
      <c r="M738" s="488" t="n"/>
      <c r="N738" s="488" t="inlineStr">
        <is>
          <t>math, combinatorics, first/last k digits 2^n, [=uva 11029]</t>
        </is>
      </c>
      <c r="O738" s="488" t="n">
        <v>89</v>
      </c>
      <c r="P738" s="488" t="n">
        <v>5</v>
      </c>
      <c r="Q738" s="297" t="inlineStr">
        <is>
          <t>p3</t>
        </is>
      </c>
    </row>
    <row r="739" ht="15.75" customHeight="1" s="279">
      <c r="A739" s="420" t="inlineStr">
        <is>
          <t>Shaass and Lights</t>
        </is>
      </c>
      <c r="B739" s="475">
        <f>HYPERLINK("http://codeforces.com/contest/294/problem/C","CF294-D2-C")</f>
        <v/>
      </c>
      <c r="C739" s="418" t="n"/>
      <c r="D739" s="418" t="n"/>
      <c r="E739" s="418" t="n"/>
      <c r="F739" s="418" t="n"/>
      <c r="G739" s="418" t="n"/>
      <c r="H739" s="418" t="n"/>
      <c r="I739" s="404">
        <f>SUM(E739:H739)</f>
        <v/>
      </c>
      <c r="J739" s="418" t="n"/>
      <c r="K739" s="418" t="n"/>
      <c r="L739" s="418" t="n"/>
      <c r="M739" s="421">
        <f>HYPERLINK("https://www.youtube.com/watch?v=xB6St1GAKUg","Video Solution - Dr Mostafa Saad")</f>
        <v/>
      </c>
      <c r="N739" s="488" t="inlineStr">
        <is>
          <t>math, combinatorics</t>
        </is>
      </c>
      <c r="O739" s="488" t="n">
        <v>89</v>
      </c>
      <c r="P739" s="488" t="n">
        <v>5.5</v>
      </c>
      <c r="Q739" s="297" t="inlineStr">
        <is>
          <t>p4</t>
        </is>
      </c>
    </row>
    <row r="740" ht="15.75" customHeight="1" s="279">
      <c r="A740" s="420" t="n"/>
      <c r="B740" s="475">
        <f>HYPERLINK("http://codeforces.com/problemset/problem/869/C","CF869-D2-C")</f>
        <v/>
      </c>
      <c r="C740" s="418" t="n"/>
      <c r="D740" s="418" t="n"/>
      <c r="E740" s="418" t="n"/>
      <c r="F740" s="418" t="n"/>
      <c r="G740" s="418" t="n"/>
      <c r="H740" s="418" t="n"/>
      <c r="I740" s="404">
        <f>SUM(E740:H740)</f>
        <v/>
      </c>
      <c r="J740" s="418" t="n"/>
      <c r="K740" s="418" t="n"/>
      <c r="L740" s="418" t="n"/>
      <c r="M740" s="421" t="n"/>
      <c r="N740" s="488" t="inlineStr">
        <is>
          <t>math, combinatorics or dp_counting</t>
        </is>
      </c>
      <c r="O740" s="488" t="n">
        <v>89</v>
      </c>
      <c r="P740" s="488" t="n">
        <v>5.5</v>
      </c>
      <c r="Q740" s="297" t="inlineStr">
        <is>
          <t>p3</t>
        </is>
      </c>
    </row>
    <row r="741" ht="15.75" customHeight="1" s="279">
      <c r="A741" s="420" t="inlineStr">
        <is>
          <t>Tourist Problem</t>
        </is>
      </c>
      <c r="B741" s="475">
        <f>HYPERLINK("http://codeforces.com/contest/340/problem/C","CF340-D2-C")</f>
        <v/>
      </c>
      <c r="C741" s="418" t="n"/>
      <c r="D741" s="418" t="n"/>
      <c r="E741" s="418" t="n"/>
      <c r="F741" s="418" t="n"/>
      <c r="G741" s="418" t="n"/>
      <c r="H741" s="418" t="n"/>
      <c r="I741" s="404">
        <f>SUM(E741:H741)</f>
        <v/>
      </c>
      <c r="J741" s="418" t="n"/>
      <c r="K741" s="418" t="n"/>
      <c r="L741" s="418" t="n"/>
      <c r="M741" s="420" t="n"/>
      <c r="N741" s="488" t="inlineStr">
        <is>
          <t>math, combinatorics, impl</t>
        </is>
      </c>
      <c r="O741" s="488" t="n">
        <v>89</v>
      </c>
      <c r="P741" s="488" t="n">
        <v>5.5</v>
      </c>
      <c r="Q741" s="297" t="inlineStr">
        <is>
          <t>p1</t>
        </is>
      </c>
    </row>
    <row r="742" ht="15.75" customHeight="1" s="279">
      <c r="A742" s="420" t="inlineStr">
        <is>
          <t>Fox Dividing Cheese</t>
        </is>
      </c>
      <c r="B742" s="475">
        <f>HYPERLINK("http://codeforces.com/contest/371/problem/B","CF371-D2-B")</f>
        <v/>
      </c>
      <c r="C742" s="418" t="n"/>
      <c r="D742" s="418" t="n"/>
      <c r="E742" s="418" t="n"/>
      <c r="F742" s="418" t="n"/>
      <c r="G742" s="418" t="n"/>
      <c r="H742" s="418" t="n"/>
      <c r="I742" s="404">
        <f>SUM(E742:H742)</f>
        <v/>
      </c>
      <c r="J742" s="418" t="n"/>
      <c r="K742" s="418" t="n"/>
      <c r="L742" s="418" t="n"/>
      <c r="M742" s="475">
        <f>HYPERLINK("https://www.youtube.com/watch?v=s9jsw8Uj4uI&amp;feature=youtu.be","Video Solution - Eng Abanob Ashraf")</f>
        <v/>
      </c>
      <c r="N742" s="488" t="inlineStr">
        <is>
          <t>math, factorial</t>
        </is>
      </c>
      <c r="O742" s="488" t="n">
        <v>94</v>
      </c>
      <c r="P742" s="488" t="n">
        <v>2.5</v>
      </c>
    </row>
    <row r="743" ht="15.75" customHeight="1" s="279">
      <c r="A743" s="420" t="inlineStr">
        <is>
          <t>Permalex</t>
        </is>
      </c>
      <c r="B743" s="475">
        <f>HYPERLINK("https://uva.onlinejudge.org/index.php?option=com_onlinejudge&amp;Itemid=8&amp;page=show_problem&amp;problem=89","UVA 153")</f>
        <v/>
      </c>
      <c r="C743" s="418" t="n"/>
      <c r="D743" s="418" t="n"/>
      <c r="E743" s="418" t="n"/>
      <c r="F743" s="418" t="n"/>
      <c r="G743" s="418" t="n"/>
      <c r="H743" s="418" t="n"/>
      <c r="I743" s="404">
        <f>SUM(E743:H743)</f>
        <v/>
      </c>
      <c r="J743" s="418" t="n"/>
      <c r="K743" s="418" t="n"/>
      <c r="L743" s="418" t="n"/>
      <c r="M743" s="493">
        <f>HYPERLINK("https://github.com/ahmedcpbl/CompetitiveProgramming/blob/master/UVA/153.cpp","Sol")</f>
        <v/>
      </c>
      <c r="N743" s="488" t="inlineStr">
        <is>
          <t>math, factorial, permutations, dublicates, factoradic index</t>
        </is>
      </c>
      <c r="O743" s="488" t="n">
        <v>94</v>
      </c>
      <c r="P743" s="488" t="n">
        <v>4.5</v>
      </c>
      <c r="Q743" s="297" t="inlineStr">
        <is>
          <t>p3</t>
        </is>
      </c>
    </row>
    <row r="744" ht="15.75" customHeight="1" s="279">
      <c r="A744" s="420" t="inlineStr">
        <is>
          <t>Prime Factors</t>
        </is>
      </c>
      <c r="B744" s="475">
        <f>HYPERLINK("https://uva.onlinejudge.org/index.php?option=com_onlinejudge&amp;Itemid=8&amp;page=show_problem&amp;problem=524","UVA 583")</f>
        <v/>
      </c>
      <c r="C744" s="418" t="n"/>
      <c r="D744" s="418" t="n"/>
      <c r="E744" s="418" t="n"/>
      <c r="F744" s="418" t="n"/>
      <c r="G744" s="418" t="n"/>
      <c r="H744" s="418" t="n"/>
      <c r="I744" s="404">
        <f>SUM(E744:H744)</f>
        <v/>
      </c>
      <c r="J744" s="404" t="n"/>
      <c r="K744" s="404" t="n"/>
      <c r="L744" s="418" t="n"/>
      <c r="M744" s="488" t="n"/>
      <c r="N744" s="488" t="inlineStr">
        <is>
          <t>math, factorization</t>
        </is>
      </c>
      <c r="O744" s="488" t="n">
        <v>95</v>
      </c>
      <c r="P744" s="488" t="n">
        <v>2</v>
      </c>
    </row>
    <row r="745" ht="15.75" customHeight="1" s="279">
      <c r="A745" s="420" t="inlineStr">
        <is>
          <t>Easy Number Challenge</t>
        </is>
      </c>
      <c r="B745" s="475">
        <f>HYPERLINK("http://codeforces.com/contest/236/problem/B","CF236-D2-B")</f>
        <v/>
      </c>
      <c r="C745" s="418" t="n"/>
      <c r="D745" s="418" t="n"/>
      <c r="E745" s="418" t="n"/>
      <c r="F745" s="418" t="n"/>
      <c r="G745" s="418" t="n"/>
      <c r="H745" s="418" t="n"/>
      <c r="I745" s="404">
        <f>SUM(E745:H745)</f>
        <v/>
      </c>
      <c r="J745" s="404" t="n"/>
      <c r="K745" s="404" t="n"/>
      <c r="L745" s="418" t="n"/>
      <c r="M745" s="475">
        <f>HYPERLINK("https://www.youtube.com/watch?v=Tv2JpMqQWYg","Video Solution - Eng Yahia Ashraf")</f>
        <v/>
      </c>
      <c r="N745" s="488" t="inlineStr">
        <is>
          <t>math, factorization</t>
        </is>
      </c>
      <c r="O745" s="488" t="n">
        <v>95</v>
      </c>
      <c r="P745" s="488" t="n">
        <v>3</v>
      </c>
    </row>
    <row r="746" ht="15.75" customHeight="1" s="279">
      <c r="A746" s="420" t="inlineStr">
        <is>
          <t>Mr. Azad and his Son</t>
        </is>
      </c>
      <c r="B746" s="475">
        <f>HYPERLINK("https://uva.onlinejudge.org/index.php?option=com_onlinejudge&amp;Itemid=8&amp;page=show_problem&amp;problem=1431","UVA 10490")</f>
        <v/>
      </c>
      <c r="C746" s="418" t="n"/>
      <c r="D746" s="418" t="n"/>
      <c r="E746" s="418" t="n"/>
      <c r="F746" s="418" t="n"/>
      <c r="G746" s="418" t="n"/>
      <c r="H746" s="418" t="n"/>
      <c r="I746" s="404">
        <f>SUM(E746:H746)</f>
        <v/>
      </c>
      <c r="J746" s="404" t="n"/>
      <c r="K746" s="404" t="n"/>
      <c r="L746" s="418" t="n"/>
      <c r="M746" s="493">
        <f>HYPERLINK("https://github.com/MohamedNabil97/CompetitiveProgramming/blob/master/UVA/10490.cpp","Sol to read")</f>
        <v/>
      </c>
      <c r="N746" s="488" t="inlineStr">
        <is>
          <t>math, factorization</t>
        </is>
      </c>
      <c r="O746" s="488" t="n">
        <v>95</v>
      </c>
      <c r="P746" s="488" t="n">
        <v>3</v>
      </c>
    </row>
    <row r="747" ht="15.75" customHeight="1" s="279">
      <c r="A747" s="420" t="inlineStr">
        <is>
          <t>Prime Land</t>
        </is>
      </c>
      <c r="B747" s="475">
        <f>HYPERLINK("https://uva.onlinejudge.org/index.php?option=com_onlinejudge&amp;Itemid=8&amp;page=show_problem&amp;problem=457","UVA 516")</f>
        <v/>
      </c>
      <c r="C747" s="418" t="n"/>
      <c r="D747" s="418" t="n"/>
      <c r="E747" s="418" t="n"/>
      <c r="F747" s="418" t="n"/>
      <c r="G747" s="418" t="n"/>
      <c r="H747" s="418" t="n"/>
      <c r="I747" s="404">
        <f>SUM(E747:H747)</f>
        <v/>
      </c>
      <c r="J747" s="404" t="n"/>
      <c r="K747" s="404" t="n"/>
      <c r="L747" s="418" t="n"/>
      <c r="M747" s="488" t="n"/>
      <c r="N747" s="488" t="inlineStr">
        <is>
          <t>math, factorization</t>
        </is>
      </c>
      <c r="O747" s="488" t="n">
        <v>95</v>
      </c>
      <c r="P747" s="488" t="n">
        <v>3</v>
      </c>
    </row>
    <row r="748" ht="15.75" customHeight="1" s="279">
      <c r="A748" s="420" t="inlineStr">
        <is>
          <t>Perfect P-th Powers</t>
        </is>
      </c>
      <c r="B748" s="475">
        <f>HYPERLINK("https://uva.onlinejudge.org/index.php?option=onlinejudge&amp;page=show_problem&amp;problem=1563","UVA 10622")</f>
        <v/>
      </c>
      <c r="C748" s="418" t="n"/>
      <c r="D748" s="418" t="n"/>
      <c r="E748" s="418" t="n"/>
      <c r="F748" s="418" t="n"/>
      <c r="G748" s="418" t="n"/>
      <c r="H748" s="418" t="n"/>
      <c r="I748" s="404">
        <f>SUM(E748:H748)</f>
        <v/>
      </c>
      <c r="J748" s="404" t="n"/>
      <c r="K748" s="404" t="n"/>
      <c r="L748" s="418" t="n"/>
      <c r="M748" s="421">
        <f>HYPERLINK("https://www.youtube.com/watch?v=sRZgiQc5x7U","Video Solution - Eng Moaz Rashad")</f>
        <v/>
      </c>
      <c r="N748" s="488" t="inlineStr">
        <is>
          <t>math, factorization</t>
        </is>
      </c>
      <c r="O748" s="488" t="n">
        <v>95</v>
      </c>
      <c r="P748" s="488" t="n">
        <v>4</v>
      </c>
      <c r="Q748" s="297" t="inlineStr">
        <is>
          <t>p1</t>
        </is>
      </c>
    </row>
    <row r="749" ht="15.75" customHeight="1" s="279">
      <c r="A749" s="420" t="inlineStr">
        <is>
          <t>Factovisors</t>
        </is>
      </c>
      <c r="B749" s="475">
        <f>HYPERLINK("https://uva.onlinejudge.org/index.php?option=onlinejudge&amp;Itemid=8&amp;page=show_problem&amp;problem=1080","UVA 10139")</f>
        <v/>
      </c>
      <c r="C749" s="418" t="n"/>
      <c r="D749" s="418" t="n"/>
      <c r="E749" s="418" t="n"/>
      <c r="F749" s="418" t="n"/>
      <c r="G749" s="418" t="n"/>
      <c r="H749" s="418" t="n"/>
      <c r="I749" s="404">
        <f>SUM(E749:H749)</f>
        <v/>
      </c>
      <c r="J749" s="404" t="n"/>
      <c r="K749" s="404" t="n"/>
      <c r="L749" s="418" t="n"/>
      <c r="M749" s="493">
        <f>HYPERLINK("https://github.com/MohamedNabil97/CompetitiveProgramming/blob/master/UVA/10139.cpp","Sol to read")</f>
        <v/>
      </c>
      <c r="N749" s="488" t="inlineStr">
        <is>
          <t>math, factorization, primes, [factorize x!]</t>
        </is>
      </c>
      <c r="O749" s="488" t="n">
        <v>95</v>
      </c>
      <c r="P749" s="488" t="n">
        <v>4</v>
      </c>
    </row>
    <row r="750" ht="15.75" customHeight="1" s="279">
      <c r="A750" s="420" t="n"/>
      <c r="B750" s="475">
        <f>HYPERLINK("http://codeforces.com/contest/1047/problem/C","CF1047-D2-C")</f>
        <v/>
      </c>
      <c r="C750" s="418" t="n"/>
      <c r="D750" s="418" t="n"/>
      <c r="E750" s="418" t="n"/>
      <c r="F750" s="418" t="n"/>
      <c r="G750" s="418" t="n"/>
      <c r="H750" s="418" t="n"/>
      <c r="I750" s="404">
        <f>SUM(E750:H750)</f>
        <v/>
      </c>
      <c r="J750" s="404" t="n"/>
      <c r="K750" s="404" t="n"/>
      <c r="L750" s="418" t="n"/>
      <c r="M750" s="420" t="n"/>
      <c r="N750" s="488" t="inlineStr">
        <is>
          <t>math, factorization</t>
        </is>
      </c>
      <c r="O750" s="488" t="n">
        <v>95</v>
      </c>
      <c r="P750" s="488" t="n">
        <v>4.5</v>
      </c>
      <c r="Q750" s="297" t="inlineStr">
        <is>
          <t>p3</t>
        </is>
      </c>
    </row>
    <row r="751" ht="15.75" customHeight="1" s="279">
      <c r="A751" s="420" t="inlineStr">
        <is>
          <t>DDF</t>
        </is>
      </c>
      <c r="B751" s="475">
        <f>HYPERLINK("https://uva.onlinejudge.org/index.php?option=onlinejudge&amp;page=show_problem&amp;problem=488","UVA 547")</f>
        <v/>
      </c>
      <c r="C751" s="418" t="n"/>
      <c r="D751" s="418" t="n"/>
      <c r="E751" s="418" t="n"/>
      <c r="F751" s="418" t="n"/>
      <c r="G751" s="418" t="n"/>
      <c r="H751" s="418" t="n"/>
      <c r="I751" s="404">
        <f>SUM(E751:H751)</f>
        <v/>
      </c>
      <c r="J751" s="404" t="n"/>
      <c r="K751" s="404" t="n"/>
      <c r="L751" s="512" t="n"/>
      <c r="M751" s="488" t="n"/>
      <c r="N751" s="488" t="inlineStr">
        <is>
          <t>math, factorization, divisors sum, multiview</t>
        </is>
      </c>
      <c r="O751" s="488" t="n">
        <v>95</v>
      </c>
      <c r="P751" s="488" t="n">
        <v>4.5</v>
      </c>
    </row>
    <row r="752" ht="15.75" customHeight="1" s="279">
      <c r="A752" s="420" t="n"/>
      <c r="B752" s="420" t="inlineStr">
        <is>
          <t>UVA 10174</t>
        </is>
      </c>
      <c r="C752" s="418" t="n"/>
      <c r="D752" s="418" t="n"/>
      <c r="E752" s="418" t="n"/>
      <c r="F752" s="418" t="n"/>
      <c r="G752" s="418" t="n"/>
      <c r="H752" s="418" t="n"/>
      <c r="I752" s="404">
        <f>SUM(E752:H752)</f>
        <v/>
      </c>
      <c r="J752" s="418" t="n"/>
      <c r="K752" s="418" t="n"/>
      <c r="L752" s="418" t="n"/>
      <c r="M752" s="488" t="n"/>
      <c r="N752" s="488" t="inlineStr">
        <is>
          <t>math, factorization, case analysis</t>
        </is>
      </c>
      <c r="O752" s="488" t="n">
        <v>95</v>
      </c>
      <c r="P752" s="488" t="n">
        <v>5</v>
      </c>
    </row>
    <row r="753" ht="15.75" customHeight="1" s="279">
      <c r="A753" s="420" t="inlineStr">
        <is>
          <t>Multifactorials</t>
        </is>
      </c>
      <c r="B753" s="475">
        <f>HYPERLINK("https://uva.onlinejudge.org/index.php?option=onlinejudge&amp;page=show_problem&amp;problem=2322","UVA 11347")</f>
        <v/>
      </c>
      <c r="C753" s="418" t="n"/>
      <c r="D753" s="418" t="n"/>
      <c r="E753" s="418" t="n"/>
      <c r="F753" s="418" t="n"/>
      <c r="G753" s="418" t="n"/>
      <c r="H753" s="418" t="n"/>
      <c r="I753" s="404">
        <f>SUM(E753:H753)</f>
        <v/>
      </c>
      <c r="J753" s="404" t="n"/>
      <c r="K753" s="404" t="n"/>
      <c r="L753" s="512" t="n"/>
      <c r="M753" s="488" t="n"/>
      <c r="N753" s="488" t="inlineStr">
        <is>
          <t>math, factorization, divisors sum</t>
        </is>
      </c>
      <c r="O753" s="488" t="n">
        <v>95</v>
      </c>
      <c r="P753" s="488" t="n">
        <v>5</v>
      </c>
    </row>
    <row r="754" ht="15.75" customHeight="1" s="279">
      <c r="A754" s="420" t="n"/>
      <c r="B754" s="475">
        <f>HYPERLINK("http://codeforces.com/problemset/problem/1033/D", "CF1033-D12-D")</f>
        <v/>
      </c>
      <c r="C754" s="418" t="n"/>
      <c r="D754" s="418" t="n"/>
      <c r="E754" s="418" t="n"/>
      <c r="F754" s="418" t="n"/>
      <c r="G754" s="418" t="n"/>
      <c r="H754" s="418" t="n"/>
      <c r="I754" s="404">
        <f>SUM(E754:H754)</f>
        <v/>
      </c>
      <c r="J754" s="418" t="n"/>
      <c r="K754" s="418" t="n"/>
      <c r="L754" s="418" t="n"/>
      <c r="M754" s="420" t="n"/>
      <c r="N754" s="488" t="inlineStr">
        <is>
          <t>math, factorization</t>
        </is>
      </c>
      <c r="O754" s="488" t="n">
        <v>95</v>
      </c>
      <c r="P754" s="488" t="n">
        <v>5.5</v>
      </c>
      <c r="Q754" s="297" t="inlineStr">
        <is>
          <t>p3</t>
        </is>
      </c>
    </row>
    <row r="755" ht="15.75" customHeight="1" s="279">
      <c r="A755" s="420" t="inlineStr">
        <is>
          <t>Remainders Game</t>
        </is>
      </c>
      <c r="B755" s="475">
        <f>HYPERLINK("http://codeforces.com/contest/688/problem/D","CF688-D2-D")</f>
        <v/>
      </c>
      <c r="C755" s="418" t="n"/>
      <c r="D755" s="418" t="n"/>
      <c r="E755" s="418" t="n"/>
      <c r="F755" s="418" t="n"/>
      <c r="G755" s="418" t="n"/>
      <c r="H755" s="418" t="n"/>
      <c r="I755" s="404">
        <f>SUM(E755:H755)</f>
        <v/>
      </c>
      <c r="J755" s="418" t="n"/>
      <c r="K755" s="418" t="n"/>
      <c r="L755" s="418" t="n"/>
      <c r="M755" s="420" t="n"/>
      <c r="N755" s="488" t="inlineStr">
        <is>
          <t>math, factorization, gcd, lcm, observations</t>
        </is>
      </c>
      <c r="O755" s="488" t="n">
        <v>95</v>
      </c>
      <c r="P755" s="488" t="n">
        <v>6</v>
      </c>
      <c r="Q755" s="297" t="inlineStr">
        <is>
          <t>p4</t>
        </is>
      </c>
    </row>
    <row r="756" ht="15.75" customHeight="1" s="279">
      <c r="A756" s="420" t="inlineStr">
        <is>
          <t>Primitive Root</t>
        </is>
      </c>
      <c r="B756" s="475">
        <f>HYPERLINK("http://www.spoj.com/problems/PROOT/","SPOJ PROOT")</f>
        <v/>
      </c>
      <c r="C756" s="418" t="n"/>
      <c r="D756" s="418" t="n"/>
      <c r="E756" s="418" t="n"/>
      <c r="F756" s="418" t="n"/>
      <c r="G756" s="418" t="n"/>
      <c r="H756" s="418" t="n"/>
      <c r="I756" s="404">
        <f>SUM(E756:H756)</f>
        <v/>
      </c>
      <c r="J756" s="404" t="n"/>
      <c r="K756" s="404" t="n"/>
      <c r="L756" s="512" t="n"/>
      <c r="M756" s="493">
        <f>HYPERLINK("http://zobayer.blogspot.com/2010/02/primitive-root.html","Sol")</f>
        <v/>
      </c>
      <c r="N756" s="488" t="inlineStr">
        <is>
          <t>math, factorization, primitve roots</t>
        </is>
      </c>
      <c r="O756" s="488" t="n">
        <v>95</v>
      </c>
      <c r="P756" s="488" t="n">
        <v>6.25</v>
      </c>
      <c r="Q756" s="297" t="inlineStr">
        <is>
          <t>p4</t>
        </is>
      </c>
    </row>
    <row r="757" ht="15.75" customHeight="1" s="279">
      <c r="A757" s="420" t="n"/>
      <c r="B757" s="420" t="inlineStr">
        <is>
          <t>UVA 12869</t>
        </is>
      </c>
      <c r="C757" s="418" t="n"/>
      <c r="D757" s="418" t="n"/>
      <c r="E757" s="418" t="n"/>
      <c r="F757" s="418" t="n"/>
      <c r="G757" s="418" t="n"/>
      <c r="H757" s="418" t="n"/>
      <c r="I757" s="404">
        <f>SUM(E757:H757)</f>
        <v/>
      </c>
      <c r="J757" s="404" t="n"/>
      <c r="K757" s="404" t="n"/>
      <c r="L757" s="418" t="n"/>
      <c r="M757" s="493">
        <f>HYPERLINK("https://pastebin.com/WHzEMUew","Sol")</f>
        <v/>
      </c>
      <c r="N757" s="488" t="inlineStr">
        <is>
          <t>math, formula</t>
        </is>
      </c>
      <c r="O757" s="488" t="n">
        <v>98</v>
      </c>
      <c r="P757" s="488" t="n">
        <v>5</v>
      </c>
      <c r="Q757" s="297" t="inlineStr">
        <is>
          <t>p2</t>
        </is>
      </c>
    </row>
    <row r="758" ht="15.75" customHeight="1" s="279">
      <c r="A758" s="420" t="inlineStr">
        <is>
          <t>Combinations</t>
        </is>
      </c>
      <c r="B758" s="475">
        <f>HYPERLINK("https://uva.onlinejudge.org/index.php?option=onlinejudge&amp;page=show_problem&amp;problem=305","UVA 369")</f>
        <v/>
      </c>
      <c r="C758" s="418" t="n"/>
      <c r="D758" s="418" t="n"/>
      <c r="E758" s="418" t="n"/>
      <c r="F758" s="418" t="n"/>
      <c r="G758" s="418" t="n"/>
      <c r="H758" s="418" t="n"/>
      <c r="I758" s="404">
        <f>SUM(E758:H758)</f>
        <v/>
      </c>
      <c r="J758" s="404" t="n"/>
      <c r="K758" s="404" t="n"/>
      <c r="L758" s="418" t="n"/>
      <c r="M758" s="420" t="n"/>
      <c r="N758" s="488" t="inlineStr">
        <is>
          <t>math, gcd, comb formula</t>
        </is>
      </c>
      <c r="O758" s="488" t="n">
        <v>99</v>
      </c>
      <c r="P758" s="488" t="n">
        <v>2</v>
      </c>
    </row>
    <row r="759" ht="15.75" customHeight="1" s="279">
      <c r="A759" s="420" t="inlineStr">
        <is>
          <t>Pi</t>
        </is>
      </c>
      <c r="B759" s="475">
        <f>HYPERLINK("https://uva.onlinejudge.org/index.php?option=onlinejudge&amp;page=show_problem&amp;problem=353","UVA 412")</f>
        <v/>
      </c>
      <c r="C759" s="418" t="n"/>
      <c r="D759" s="418" t="n"/>
      <c r="E759" s="418" t="n"/>
      <c r="F759" s="418" t="n"/>
      <c r="G759" s="418" t="n"/>
      <c r="H759" s="418" t="n"/>
      <c r="I759" s="404">
        <f>SUM(E759:H759)</f>
        <v/>
      </c>
      <c r="J759" s="404" t="n"/>
      <c r="K759" s="404" t="n"/>
      <c r="L759" s="418" t="n"/>
      <c r="M759" s="421">
        <f>HYPERLINK("https://www.youtube.com/watch?v=NmumgTB7B9c&amp;feature=youtu.be","Video Solution - Eng Mohamed Adel")</f>
        <v/>
      </c>
      <c r="N759" s="488" t="inlineStr">
        <is>
          <t>math, gcd</t>
        </is>
      </c>
      <c r="O759" s="488" t="n">
        <v>99</v>
      </c>
      <c r="P759" s="488" t="n">
        <v>3</v>
      </c>
    </row>
    <row r="760" ht="15.75" customHeight="1" s="279">
      <c r="A760" s="420" t="inlineStr">
        <is>
          <t>Trains</t>
        </is>
      </c>
      <c r="B760" s="475">
        <f>HYPERLINK("http://codeforces.com/contest/88/problem/C","CF88-D2-C")</f>
        <v/>
      </c>
      <c r="C760" s="418" t="n"/>
      <c r="D760" s="418" t="n"/>
      <c r="E760" s="418" t="n"/>
      <c r="F760" s="418" t="n"/>
      <c r="G760" s="418" t="n"/>
      <c r="H760" s="418" t="n"/>
      <c r="I760" s="404">
        <f>SUM(E760:H760)</f>
        <v/>
      </c>
      <c r="J760" s="418" t="n"/>
      <c r="K760" s="418" t="n"/>
      <c r="L760" s="418" t="n"/>
      <c r="M760" s="421">
        <f>HYPERLINK("https://www.youtube.com/watch?v=YiM38hyILmc","Video Solution - Solver to be (Java)")</f>
        <v/>
      </c>
      <c r="N760" s="488" t="inlineStr">
        <is>
          <t>math, gcd or adhoc</t>
        </is>
      </c>
      <c r="O760" s="488" t="n">
        <v>99</v>
      </c>
      <c r="P760" s="488" t="n">
        <v>4</v>
      </c>
    </row>
    <row r="761" ht="15.75" customHeight="1" s="279">
      <c r="A761" s="420" t="inlineStr">
        <is>
          <t>Mint</t>
        </is>
      </c>
      <c r="B761" s="475">
        <f>HYPERLINK("https://uva.onlinejudge.org/index.php?option=onlinejudge&amp;page=show_problem&amp;problem=1658","UVA 10717")</f>
        <v/>
      </c>
      <c r="C761" s="418" t="n"/>
      <c r="D761" s="418" t="n"/>
      <c r="E761" s="418" t="n"/>
      <c r="F761" s="418" t="n"/>
      <c r="G761" s="418" t="n"/>
      <c r="H761" s="418" t="n"/>
      <c r="I761" s="404">
        <f>SUM(E761:H761)</f>
        <v/>
      </c>
      <c r="J761" s="404" t="n"/>
      <c r="K761" s="404" t="n"/>
      <c r="L761" s="418" t="n"/>
      <c r="M761" s="493">
        <f>HYPERLINK("https://github.com/magdy-hasan/competitive-programming/blob/master/uva-/uva%2010717%20-%20Mint.cpp","Sol")</f>
        <v/>
      </c>
      <c r="N761" s="488" t="inlineStr">
        <is>
          <t>math, gcd, lcm</t>
        </is>
      </c>
      <c r="O761" s="488" t="n">
        <v>99</v>
      </c>
      <c r="P761" s="488" t="n">
        <v>4</v>
      </c>
    </row>
    <row r="762" ht="15.75" customHeight="1" s="279">
      <c r="A762" s="420" t="inlineStr">
        <is>
          <t>The Big Race</t>
        </is>
      </c>
      <c r="B762" s="475">
        <f>HYPERLINK("http://codeforces.com/contest/592/problem/C","CF592-D2-C")</f>
        <v/>
      </c>
      <c r="C762" s="418" t="n"/>
      <c r="D762" s="418" t="n"/>
      <c r="E762" s="418" t="n"/>
      <c r="F762" s="418" t="n"/>
      <c r="G762" s="418" t="n"/>
      <c r="H762" s="418" t="n"/>
      <c r="I762" s="404">
        <f>SUM(E762:H762)</f>
        <v/>
      </c>
      <c r="J762" s="418" t="n"/>
      <c r="K762" s="418" t="n"/>
      <c r="L762" s="418" t="n"/>
      <c r="M762" s="420" t="n"/>
      <c r="N762" s="488" t="inlineStr">
        <is>
          <t>math, gcd, lcm, [overflow]</t>
        </is>
      </c>
      <c r="O762" s="488" t="n">
        <v>99</v>
      </c>
      <c r="P762" s="488" t="n">
        <v>4.5</v>
      </c>
      <c r="Q762" s="297" t="inlineStr">
        <is>
          <t>p3</t>
        </is>
      </c>
    </row>
    <row r="763" ht="15.75" customHeight="1" s="279">
      <c r="A763" s="420" t="inlineStr">
        <is>
          <t>LCM Cardinality</t>
        </is>
      </c>
      <c r="B763" s="475">
        <f>HYPERLINK("https://uva.onlinejudge.org/index.php?option=onlinejudge&amp;page=show_problem&amp;problem=1833","UVA 10892")</f>
        <v/>
      </c>
      <c r="C763" s="418" t="n"/>
      <c r="D763" s="418" t="n"/>
      <c r="E763" s="418" t="n"/>
      <c r="F763" s="418" t="n"/>
      <c r="G763" s="418" t="n"/>
      <c r="H763" s="418" t="n"/>
      <c r="I763" s="404">
        <f>SUM(E763:H763)</f>
        <v/>
      </c>
      <c r="J763" s="418" t="n"/>
      <c r="K763" s="418" t="n"/>
      <c r="L763" s="418" t="n"/>
      <c r="M763" s="420" t="n"/>
      <c r="N763" s="488" t="inlineStr">
        <is>
          <t>math, gcd, lcm</t>
        </is>
      </c>
      <c r="O763" s="488" t="n">
        <v>99</v>
      </c>
      <c r="P763" s="488" t="n">
        <v>4.5</v>
      </c>
    </row>
    <row r="764" ht="15.75" customHeight="1" s="279">
      <c r="A764" s="420" t="inlineStr">
        <is>
          <t>Rational Resistance</t>
        </is>
      </c>
      <c r="B764" s="475">
        <f>HYPERLINK("http://codeforces.com/contest/344/problem/C","CF344-D2-C")</f>
        <v/>
      </c>
      <c r="C764" s="418" t="n"/>
      <c r="D764" s="418" t="n"/>
      <c r="E764" s="418" t="n"/>
      <c r="F764" s="418" t="n"/>
      <c r="G764" s="418" t="n"/>
      <c r="H764" s="418" t="n"/>
      <c r="I764" s="404">
        <f>SUM(E764:H764)</f>
        <v/>
      </c>
      <c r="J764" s="418" t="n"/>
      <c r="K764" s="418" t="n"/>
      <c r="L764" s="418" t="n"/>
      <c r="M764" s="488" t="n"/>
      <c r="N764" s="488" t="inlineStr">
        <is>
          <t>math, gcd</t>
        </is>
      </c>
      <c r="O764" s="488" t="n">
        <v>99</v>
      </c>
      <c r="P764" s="488" t="n">
        <v>5</v>
      </c>
      <c r="Q764" s="297" t="inlineStr">
        <is>
          <t>p3</t>
        </is>
      </c>
    </row>
    <row r="765" ht="15.75" customHeight="1" s="279">
      <c r="A765" s="420" t="inlineStr">
        <is>
          <t>LCM Challenge</t>
        </is>
      </c>
      <c r="B765" s="475">
        <f>HYPERLINK("http://codeforces.com/contest/236/problem/C","CF236-D2-C")</f>
        <v/>
      </c>
      <c r="C765" s="418" t="n"/>
      <c r="D765" s="418" t="n"/>
      <c r="E765" s="418" t="n"/>
      <c r="F765" s="418" t="n"/>
      <c r="G765" s="418" t="n"/>
      <c r="H765" s="418" t="n"/>
      <c r="I765" s="404">
        <f>SUM(E765:H765)</f>
        <v/>
      </c>
      <c r="J765" s="418" t="n"/>
      <c r="K765" s="418" t="n"/>
      <c r="L765" s="418" t="n"/>
      <c r="M765" s="420" t="n"/>
      <c r="N765" s="488" t="inlineStr">
        <is>
          <t>math, gcd, lcm</t>
        </is>
      </c>
      <c r="O765" s="488" t="n">
        <v>99</v>
      </c>
      <c r="P765" s="488" t="n">
        <v>5</v>
      </c>
    </row>
    <row r="766" ht="15.75" customHeight="1" s="279">
      <c r="A766" s="420" t="n"/>
      <c r="B766" s="475">
        <f>HYPERLINK("http://codeforces.com/contest/1010/problem/C","CF1010-D1-C")</f>
        <v/>
      </c>
      <c r="C766" s="418" t="n"/>
      <c r="D766" s="418" t="n"/>
      <c r="E766" s="418" t="n"/>
      <c r="F766" s="418" t="n"/>
      <c r="G766" s="418" t="n"/>
      <c r="H766" s="418" t="n"/>
      <c r="I766" s="404">
        <f>SUM(E766:H766)</f>
        <v/>
      </c>
      <c r="J766" s="418" t="n"/>
      <c r="K766" s="418" t="n"/>
      <c r="L766" s="418" t="n"/>
      <c r="M766" s="488" t="n"/>
      <c r="N766" s="488" t="inlineStr">
        <is>
          <t>math, gcd, mod, number theory</t>
        </is>
      </c>
      <c r="O766" s="488" t="n">
        <v>99</v>
      </c>
      <c r="P766" s="488" t="n">
        <v>5.5</v>
      </c>
      <c r="Q766" s="297" t="inlineStr">
        <is>
          <t>p1</t>
        </is>
      </c>
    </row>
    <row r="767" ht="15.75" customHeight="1" s="279">
      <c r="A767" s="420" t="n"/>
      <c r="B767" s="475">
        <f>HYPERLINK("https://beta.atcoder.jp/contests/agc026/tasks/agc026_b","AtCoder026-AGC-B")</f>
        <v/>
      </c>
      <c r="C767" s="418" t="n"/>
      <c r="D767" s="418" t="n"/>
      <c r="E767" s="418" t="n"/>
      <c r="F767" s="418" t="n"/>
      <c r="G767" s="418" t="n"/>
      <c r="H767" s="418" t="n"/>
      <c r="I767" s="404">
        <f>SUM(E767:H767)</f>
        <v/>
      </c>
      <c r="J767" s="418" t="n"/>
      <c r="K767" s="418" t="n"/>
      <c r="L767" s="512" t="n"/>
      <c r="M767" s="493">
        <f>HYPERLINK("https://github.com/dasannagariraja/CompetitiveProgramming/blob/master/AtCoder/AtCoder026-AGC-B.cpp","Sol")</f>
        <v/>
      </c>
      <c r="N767" s="488" t="inlineStr">
        <is>
          <t>math, gcd, cases</t>
        </is>
      </c>
      <c r="O767" s="488" t="n">
        <v>99</v>
      </c>
      <c r="P767" s="488" t="n">
        <v>6</v>
      </c>
      <c r="Q767" s="297" t="inlineStr">
        <is>
          <t>p3</t>
        </is>
      </c>
    </row>
    <row r="768" ht="15.75" customHeight="1" s="279">
      <c r="A768" s="420" t="n"/>
      <c r="B768" s="475">
        <f>HYPERLINK("https://www.spoj.com/problems/EASYMATH/","SPOJ EASYMATH")</f>
        <v/>
      </c>
      <c r="C768" s="418" t="n"/>
      <c r="D768" s="418" t="n"/>
      <c r="E768" s="418" t="n"/>
      <c r="F768" s="418" t="n"/>
      <c r="G768" s="418" t="n"/>
      <c r="H768" s="418" t="n"/>
      <c r="I768" s="404">
        <f>SUM(E768:H768)</f>
        <v/>
      </c>
      <c r="J768" s="418" t="n"/>
      <c r="K768" s="404" t="n"/>
      <c r="L768" s="418" t="n"/>
      <c r="M768" s="421">
        <f>HYPERLINK("https://github.com/Emsawy/CompetitiveProgramming/blob/master/SPOJ/EASYMATH.cpp","Sol")</f>
        <v/>
      </c>
      <c r="N768" s="488" t="inlineStr">
        <is>
          <t>math, inclusion-exclusion, lcm</t>
        </is>
      </c>
      <c r="O768" s="488" t="n">
        <v>101</v>
      </c>
      <c r="P768" s="488" t="n">
        <v>3</v>
      </c>
      <c r="Q768" s="304" t="n"/>
    </row>
    <row r="769" ht="15.75" customHeight="1" s="279">
      <c r="A769" s="420" t="inlineStr">
        <is>
          <t>Hamburgers</t>
        </is>
      </c>
      <c r="B769" s="475">
        <f>HYPERLINK("http://codeforces.com/contest/371/problem/C","CF371-D2-C")</f>
        <v/>
      </c>
      <c r="C769" s="418" t="n"/>
      <c r="D769" s="418" t="n"/>
      <c r="E769" s="418" t="n"/>
      <c r="F769" s="418" t="n"/>
      <c r="G769" s="418" t="n"/>
      <c r="H769" s="418" t="n"/>
      <c r="I769" s="404">
        <f>SUM(E769:H769)</f>
        <v/>
      </c>
      <c r="J769" s="404" t="n"/>
      <c r="K769" s="404" t="n"/>
      <c r="L769" s="418" t="n"/>
      <c r="M769" s="420" t="n"/>
      <c r="N769" s="488" t="inlineStr">
        <is>
          <t>math, inclusion-exclusion, binary search</t>
        </is>
      </c>
      <c r="O769" s="488" t="n">
        <v>101</v>
      </c>
      <c r="P769" s="488" t="n">
        <v>3</v>
      </c>
    </row>
    <row r="770" ht="15.75" customHeight="1" s="279">
      <c r="A770" s="420" t="inlineStr">
        <is>
          <t>The Lottery</t>
        </is>
      </c>
      <c r="B770" s="475">
        <f>HYPERLINK("https://uva.onlinejudge.org/index.php?option=onlinejudge&amp;page=show_problem&amp;problem=1266","UVA 10325")</f>
        <v/>
      </c>
      <c r="C770" s="418" t="n"/>
      <c r="D770" s="418" t="n"/>
      <c r="E770" s="418" t="n"/>
      <c r="F770" s="418" t="n"/>
      <c r="G770" s="418" t="n"/>
      <c r="H770" s="418" t="n"/>
      <c r="I770" s="404">
        <f>SUM(E770:H770)</f>
        <v/>
      </c>
      <c r="J770" s="404" t="n"/>
      <c r="K770" s="404" t="n"/>
      <c r="L770" s="418" t="n"/>
      <c r="M770" s="421">
        <f>HYPERLINK("https://www.youtube.com/watch?v=OA_J9bFxJpU","Video Solution - Eng Amr Bahaa")</f>
        <v/>
      </c>
      <c r="N770" s="488" t="inlineStr">
        <is>
          <t>math, inclusion-exclusion, gcd, overflow</t>
        </is>
      </c>
      <c r="O770" s="488" t="n">
        <v>101</v>
      </c>
      <c r="P770" s="488" t="n">
        <v>4</v>
      </c>
    </row>
    <row r="771" ht="15.75" customHeight="1" s="279">
      <c r="A771" s="420" t="n"/>
      <c r="B771" s="475">
        <f>HYPERLINK("https://codeforces.com/gym/101933/problem/K","CF101933-GYM-K")</f>
        <v/>
      </c>
      <c r="C771" s="418" t="n"/>
      <c r="D771" s="418" t="n"/>
      <c r="E771" s="418" t="n"/>
      <c r="F771" s="418" t="n"/>
      <c r="G771" s="418" t="n"/>
      <c r="H771" s="418" t="n"/>
      <c r="I771" s="404">
        <f>SUM(E771:H771)</f>
        <v/>
      </c>
      <c r="J771" s="404" t="n"/>
      <c r="K771" s="404" t="n"/>
      <c r="L771" s="418" t="n"/>
      <c r="M771" s="419">
        <f>HYPERLINK("https://github.com/pranavjangir/CompetitiveProgramming/blob/master/CodeForces/CF101933-GYM-K.cpp","Sol")</f>
        <v/>
      </c>
      <c r="N771" s="488" t="inlineStr">
        <is>
          <t>math, inclusion-exclusion</t>
        </is>
      </c>
      <c r="O771" s="488" t="n">
        <v>101</v>
      </c>
      <c r="P771" s="488" t="n">
        <v>4</v>
      </c>
    </row>
    <row r="772" ht="15.75" customHeight="1" s="279">
      <c r="A772" s="420" t="n"/>
      <c r="B772" s="475">
        <f>HYPERLINK("http://codeforces.com/contest/372/problem/B","CF372-D1-B")</f>
        <v/>
      </c>
      <c r="C772" s="418" t="n"/>
      <c r="D772" s="418" t="n"/>
      <c r="E772" s="418" t="n"/>
      <c r="F772" s="418" t="n"/>
      <c r="G772" s="418" t="n"/>
      <c r="H772" s="418" t="n"/>
      <c r="I772" s="404">
        <f>SUM(E772:H772)</f>
        <v/>
      </c>
      <c r="J772" s="404" t="n"/>
      <c r="K772" s="404" t="n"/>
      <c r="L772" s="418" t="n"/>
      <c r="M772" s="420" t="n"/>
      <c r="N772" s="488" t="inlineStr">
        <is>
          <t>math, inclusion-exclusion</t>
        </is>
      </c>
      <c r="O772" s="488" t="n">
        <v>101</v>
      </c>
      <c r="P772" s="488" t="n">
        <v>5.75</v>
      </c>
      <c r="Q772" s="278" t="inlineStr">
        <is>
          <t>p2</t>
        </is>
      </c>
    </row>
    <row r="773" ht="15.75" customHeight="1" s="279">
      <c r="A773" s="420" t="n"/>
      <c r="B773" s="420" t="inlineStr">
        <is>
          <t>SPOJ MSKYCODE</t>
        </is>
      </c>
      <c r="C773" s="418" t="n"/>
      <c r="D773" s="418" t="n"/>
      <c r="E773" s="418" t="n"/>
      <c r="F773" s="418" t="n"/>
      <c r="G773" s="418" t="n"/>
      <c r="H773" s="418" t="n"/>
      <c r="I773" s="404">
        <f>SUM(E773:H773)</f>
        <v/>
      </c>
      <c r="J773" s="404" t="n"/>
      <c r="K773" s="404" t="n"/>
      <c r="L773" s="418" t="n"/>
      <c r="M773" s="475">
        <f>HYPERLINK("https://github.com/mostafa-saad/MyCompetitiveProgramming/blob/master/SPOJ/SPOJ_MSKYCODE.txt","Sol")</f>
        <v/>
      </c>
      <c r="N773" s="488" t="inlineStr">
        <is>
          <t>math, inclusion-exclusion</t>
        </is>
      </c>
      <c r="O773" s="488" t="n">
        <v>101</v>
      </c>
      <c r="P773" s="488" t="n">
        <v>6</v>
      </c>
      <c r="Q773" s="278" t="inlineStr">
        <is>
          <t>p3</t>
        </is>
      </c>
    </row>
    <row r="774" ht="15.75" customHeight="1" s="279">
      <c r="A774" s="420" t="n"/>
      <c r="B774" s="475">
        <f>HYPERLINK("https://codeforces.com/gym/101992/problem/D","CF101992-GYM-D")</f>
        <v/>
      </c>
      <c r="C774" s="418" t="n"/>
      <c r="D774" s="418" t="n"/>
      <c r="E774" s="418" t="n"/>
      <c r="F774" s="418" t="n"/>
      <c r="G774" s="418" t="n"/>
      <c r="H774" s="418" t="n"/>
      <c r="I774" s="404">
        <f>SUM(E774:H774)</f>
        <v/>
      </c>
      <c r="J774" s="404" t="n"/>
      <c r="K774" s="404" t="n"/>
      <c r="L774" s="418" t="n"/>
      <c r="M774" s="475">
        <f>HYPERLINK("https://ideone.com/bDMQGD","Sol")</f>
        <v/>
      </c>
      <c r="N774" s="488" t="inlineStr">
        <is>
          <t>math, inclusion-exclusion</t>
        </is>
      </c>
      <c r="O774" s="488" t="n">
        <v>101</v>
      </c>
      <c r="P774" s="488" t="n">
        <v>6</v>
      </c>
      <c r="Q774" s="278" t="inlineStr">
        <is>
          <t>p3</t>
        </is>
      </c>
    </row>
    <row r="775" ht="15.75" customHeight="1" s="279">
      <c r="A775" s="420" t="inlineStr">
        <is>
          <t>Equation</t>
        </is>
      </c>
      <c r="B775" s="475">
        <f>HYPERLINK("https://uva.onlinejudge.org/index.php?option=com_onlinejudge&amp;Itemid=8&amp;page=show_problem&amp;problem=668","UVA 727")</f>
        <v/>
      </c>
      <c r="C775" s="418" t="n"/>
      <c r="D775" s="418" t="n"/>
      <c r="E775" s="418" t="n"/>
      <c r="F775" s="418" t="n"/>
      <c r="G775" s="418" t="n"/>
      <c r="H775" s="418" t="n"/>
      <c r="I775" s="404">
        <f>SUM(E775:H775)</f>
        <v/>
      </c>
      <c r="J775" s="418" t="n"/>
      <c r="K775" s="418" t="n"/>
      <c r="L775" s="418" t="n"/>
      <c r="M775" s="420" t="n"/>
      <c r="N775" s="488" t="inlineStr">
        <is>
          <t>math, infix to postfix</t>
        </is>
      </c>
      <c r="O775" s="488" t="n">
        <v>102</v>
      </c>
      <c r="P775" s="488" t="n">
        <v>4</v>
      </c>
    </row>
    <row r="776" ht="15.75" customHeight="1" s="279">
      <c r="A776" s="420" t="inlineStr">
        <is>
          <t>Farm</t>
        </is>
      </c>
      <c r="B776" s="475">
        <f>HYPERLINK("http://acm.timus.ru/problem.aspx?space=1&amp;num=1349","TIMUS 1349")</f>
        <v/>
      </c>
      <c r="C776" s="418" t="n"/>
      <c r="D776" s="418" t="n"/>
      <c r="E776" s="418" t="n"/>
      <c r="F776" s="418" t="n"/>
      <c r="G776" s="418" t="n"/>
      <c r="H776" s="418" t="n"/>
      <c r="I776" s="404">
        <f>SUM(E776:H776)</f>
        <v/>
      </c>
      <c r="J776" s="404" t="n"/>
      <c r="K776" s="404" t="n"/>
      <c r="L776" s="404" t="n"/>
      <c r="M776" s="408">
        <f>HYPERLINK("http://acm.timus.ru/forum/thread.aspx?id=26903&amp;upd=634491955419403750","Know Fermat’s Last Theorem (Ignore proof)")</f>
        <v/>
      </c>
      <c r="N776" s="488" t="inlineStr">
        <is>
          <t>math, math_adhoc, fermat last theorm</t>
        </is>
      </c>
      <c r="O776" s="488" t="n">
        <v>104</v>
      </c>
      <c r="P776" s="488" t="n">
        <v>2</v>
      </c>
      <c r="Q776" s="297" t="inlineStr">
        <is>
          <t>p2</t>
        </is>
      </c>
    </row>
    <row r="777" ht="15.75" customHeight="1" s="279">
      <c r="A777" s="420" t="inlineStr">
        <is>
          <t>Summation of Polynomials</t>
        </is>
      </c>
      <c r="B777" s="475">
        <f>HYPERLINK("https://uva.onlinejudge.org/index.php?option=onlinejudge&amp;page=show_problem&amp;problem=1243","UVA 10302")</f>
        <v/>
      </c>
      <c r="C777" s="418" t="n"/>
      <c r="D777" s="418" t="n"/>
      <c r="E777" s="418" t="n"/>
      <c r="F777" s="418" t="n"/>
      <c r="G777" s="418" t="n"/>
      <c r="H777" s="418" t="n"/>
      <c r="I777" s="404">
        <f>SUM(E777:H777)</f>
        <v/>
      </c>
      <c r="J777" s="404" t="n"/>
      <c r="K777" s="404" t="n"/>
      <c r="L777" s="418" t="n"/>
      <c r="M777" s="488" t="n"/>
      <c r="N777" s="488" t="inlineStr">
        <is>
          <t>math, math_adhoc, polynomials</t>
        </is>
      </c>
      <c r="O777" s="488" t="n">
        <v>104</v>
      </c>
      <c r="P777" s="488" t="n">
        <v>2</v>
      </c>
    </row>
    <row r="778" ht="15.75" customHeight="1" s="279">
      <c r="A778" s="420" t="n"/>
      <c r="B778" s="475">
        <f>HYPERLINK("https://www.hackerrank.com/contests/infinitum18/challenges/tower-3-coloring","HACKR tower-3-coloring")</f>
        <v/>
      </c>
      <c r="C778" s="418" t="n"/>
      <c r="D778" s="418" t="n"/>
      <c r="E778" s="418" t="n"/>
      <c r="F778" s="418" t="n"/>
      <c r="G778" s="418" t="n"/>
      <c r="H778" s="418" t="n"/>
      <c r="I778" s="404">
        <f>SUM(E778:H778)</f>
        <v/>
      </c>
      <c r="J778" s="404" t="n"/>
      <c r="K778" s="404" t="n"/>
      <c r="L778" s="418" t="n"/>
      <c r="M778" s="324" t="inlineStr">
        <is>
          <t>Learn  Fermat's little theorem</t>
        </is>
      </c>
      <c r="N778" s="488" t="inlineStr">
        <is>
          <t>math, math_adhoc, fermat little theorm</t>
        </is>
      </c>
      <c r="O778" s="488" t="n">
        <v>104</v>
      </c>
      <c r="P778" s="488" t="n">
        <v>3</v>
      </c>
      <c r="Q778" s="297" t="inlineStr">
        <is>
          <t>p1</t>
        </is>
      </c>
    </row>
    <row r="779" ht="15.75" customHeight="1" s="279">
      <c r="A779" s="420" t="inlineStr">
        <is>
          <t>R U Kidding Mr. Feynman?</t>
        </is>
      </c>
      <c r="B779" s="475">
        <f>HYPERLINK("https://uva.onlinejudge.org/index.php?option=onlinejudge&amp;page=show_problem&amp;problem=1450","UVA 10509")</f>
        <v/>
      </c>
      <c r="C779" s="418" t="n"/>
      <c r="D779" s="418" t="n"/>
      <c r="E779" s="418" t="n"/>
      <c r="F779" s="418" t="n"/>
      <c r="G779" s="418" t="n"/>
      <c r="H779" s="418" t="n"/>
      <c r="I779" s="404">
        <f>SUM(E779:H779)</f>
        <v/>
      </c>
      <c r="J779" s="404" t="n"/>
      <c r="K779" s="404" t="n"/>
      <c r="L779" s="418" t="n"/>
      <c r="M779" s="421" t="n"/>
      <c r="N779" s="488" t="inlineStr">
        <is>
          <t>math, math_adhoc, patterns</t>
        </is>
      </c>
      <c r="O779" s="488" t="n">
        <v>104</v>
      </c>
      <c r="P779" s="488" t="n">
        <v>3.5</v>
      </c>
    </row>
    <row r="780" ht="15.75" customHeight="1" s="279">
      <c r="A780" s="420" t="inlineStr">
        <is>
          <t>Polly the Polynomial</t>
        </is>
      </c>
      <c r="B780" s="475">
        <f>HYPERLINK("https://uva.onlinejudge.org/index.php?option=com_onlinejudge&amp;Itemid=8&amp;page=show_problem&amp;problem=439","UVA 498")</f>
        <v/>
      </c>
      <c r="C780" s="418" t="n"/>
      <c r="D780" s="418" t="n"/>
      <c r="E780" s="418" t="n"/>
      <c r="F780" s="418" t="n"/>
      <c r="G780" s="418" t="n"/>
      <c r="H780" s="418" t="n"/>
      <c r="I780" s="404">
        <f>SUM(E780:H780)</f>
        <v/>
      </c>
      <c r="J780" s="404" t="n"/>
      <c r="K780" s="404" t="n"/>
      <c r="L780" s="418" t="n"/>
      <c r="M780" s="420" t="n"/>
      <c r="N780" s="488" t="inlineStr">
        <is>
          <t>math, math_adhoc, polynomials</t>
        </is>
      </c>
      <c r="O780" s="488" t="n">
        <v>104</v>
      </c>
      <c r="P780" s="488" t="n">
        <v>3.5</v>
      </c>
    </row>
    <row r="781" ht="15.75" customHeight="1" s="279">
      <c r="A781" s="420" t="inlineStr">
        <is>
          <t>Jzzhu and Sequences</t>
        </is>
      </c>
      <c r="B781" s="475">
        <f>HYPERLINK("http://codeforces.com/contest/450/problem/B","CF450-D2-B")</f>
        <v/>
      </c>
      <c r="C781" s="418" t="n"/>
      <c r="D781" s="418" t="n"/>
      <c r="E781" s="418" t="n"/>
      <c r="F781" s="418" t="n"/>
      <c r="G781" s="418" t="n"/>
      <c r="H781" s="418" t="n"/>
      <c r="I781" s="404">
        <f>SUM(E781:H781)</f>
        <v/>
      </c>
      <c r="J781" s="404" t="n"/>
      <c r="K781" s="404" t="n"/>
      <c r="L781" s="418" t="n"/>
      <c r="M781" s="488" t="n"/>
      <c r="N781" s="488" t="inlineStr">
        <is>
          <t>math, matrix, matrix exponient</t>
        </is>
      </c>
      <c r="O781" s="488" t="n">
        <v>105</v>
      </c>
      <c r="P781" s="488" t="n">
        <v>2.5</v>
      </c>
    </row>
    <row r="782" ht="15.75" customHeight="1" s="279">
      <c r="A782" s="420" t="inlineStr">
        <is>
          <t>Mirror, Mirror</t>
        </is>
      </c>
      <c r="B782" s="475">
        <f>HYPERLINK("https://uva.onlinejudge.org/index.php?option=com_onlinejudge&amp;Itemid=8&amp;page=show_problem&amp;problem=407","UVA 466")</f>
        <v/>
      </c>
      <c r="C782" s="418" t="n"/>
      <c r="D782" s="418" t="n"/>
      <c r="E782" s="418" t="n"/>
      <c r="F782" s="418" t="n"/>
      <c r="G782" s="418" t="n"/>
      <c r="H782" s="418" t="n"/>
      <c r="I782" s="404">
        <f>SUM(E782:H782)</f>
        <v/>
      </c>
      <c r="J782" s="418" t="n"/>
      <c r="K782" s="418" t="n"/>
      <c r="L782" s="418" t="n"/>
      <c r="M782" s="488" t="n"/>
      <c r="N782" s="488" t="inlineStr">
        <is>
          <t>math, matrix, rotate, reflect, impl</t>
        </is>
      </c>
      <c r="O782" s="488" t="n">
        <v>105</v>
      </c>
      <c r="P782" s="488" t="n">
        <v>3</v>
      </c>
      <c r="Q782" s="297" t="inlineStr">
        <is>
          <t>p1</t>
        </is>
      </c>
    </row>
    <row r="783" ht="15.75" customHeight="1" s="279">
      <c r="A783" s="420" t="inlineStr">
        <is>
          <t>Clear Symmetry</t>
        </is>
      </c>
      <c r="B783" s="475">
        <f>HYPERLINK("http://codeforces.com/contest/202/problem/C","CF202-D2-C")</f>
        <v/>
      </c>
      <c r="C783" s="418" t="n"/>
      <c r="D783" s="418" t="n"/>
      <c r="E783" s="418" t="n"/>
      <c r="F783" s="418" t="n"/>
      <c r="G783" s="418" t="n"/>
      <c r="H783" s="418" t="n"/>
      <c r="I783" s="404">
        <f>SUM(E783:H783)</f>
        <v/>
      </c>
      <c r="J783" s="404" t="n"/>
      <c r="K783" s="404" t="n"/>
      <c r="L783" s="418" t="n"/>
      <c r="M783" s="420" t="n"/>
      <c r="N783" s="488" t="inlineStr">
        <is>
          <t>math, matrix, bf</t>
        </is>
      </c>
      <c r="O783" s="488" t="n">
        <v>105</v>
      </c>
      <c r="P783" s="488" t="n">
        <v>4</v>
      </c>
    </row>
    <row r="784" ht="15.75" customHeight="1" s="279">
      <c r="A784" s="420" t="inlineStr">
        <is>
          <t>End of Fun</t>
        </is>
      </c>
      <c r="B784" s="475">
        <f>HYPERLINK("http://www.spoj.com/problems/DCEPC12E","SPOJ DCEPC12E")</f>
        <v/>
      </c>
      <c r="C784" s="418" t="n"/>
      <c r="D784" s="418" t="n"/>
      <c r="E784" s="418" t="n"/>
      <c r="F784" s="418" t="n"/>
      <c r="G784" s="418" t="n"/>
      <c r="H784" s="418" t="n"/>
      <c r="I784" s="404">
        <f>SUM(E784:H784)</f>
        <v/>
      </c>
      <c r="J784" s="404" t="n"/>
      <c r="K784" s="404" t="n"/>
      <c r="L784" s="512" t="n"/>
      <c r="M784" s="420" t="n"/>
      <c r="N784" s="488" t="inlineStr">
        <is>
          <t>math, matrix</t>
        </is>
      </c>
      <c r="O784" s="488" t="n">
        <v>105</v>
      </c>
      <c r="P784" s="488" t="n">
        <v>4.5</v>
      </c>
    </row>
    <row r="785" ht="15.75" customHeight="1" s="279">
      <c r="A785" s="420" t="inlineStr">
        <is>
          <t>Uniform Generator</t>
        </is>
      </c>
      <c r="B785" s="475">
        <f>HYPERLINK("https://uva.onlinejudge.org/index.php?option=onlinejudge&amp;page=show_problem&amp;problem=349","UVA 408")</f>
        <v/>
      </c>
      <c r="C785" s="418" t="n"/>
      <c r="D785" s="418" t="n"/>
      <c r="E785" s="418" t="n"/>
      <c r="F785" s="418" t="n"/>
      <c r="G785" s="418" t="n"/>
      <c r="H785" s="418" t="n"/>
      <c r="I785" s="404">
        <f>SUM(E785:H785)</f>
        <v/>
      </c>
      <c r="J785" s="418" t="n"/>
      <c r="K785" s="404" t="n"/>
      <c r="L785" s="418" t="n"/>
      <c r="M785" s="422">
        <f>HYPERLINK("https://www.youtube.com/watch?v=VmL4PQIZ-6c","Video Solution - Eng Yahia Ashraf")</f>
        <v/>
      </c>
      <c r="N785" s="488" t="inlineStr">
        <is>
          <t>math, mod</t>
        </is>
      </c>
      <c r="O785" s="488" t="n">
        <v>109</v>
      </c>
      <c r="P785" s="488" t="n">
        <v>3</v>
      </c>
    </row>
    <row r="786" ht="15.75" customHeight="1" s="279">
      <c r="A786" s="420" t="inlineStr">
        <is>
          <t>Be Efficient</t>
        </is>
      </c>
      <c r="B786" s="475">
        <f>HYPERLINK("https://uva.onlinejudge.org/index.php?option=onlinejudge&amp;page=show_problem&amp;problem=2096","UVA 11155")</f>
        <v/>
      </c>
      <c r="C786" s="418" t="n"/>
      <c r="D786" s="418" t="n"/>
      <c r="E786" s="418" t="n"/>
      <c r="F786" s="418" t="n"/>
      <c r="G786" s="418" t="n"/>
      <c r="H786" s="418" t="n"/>
      <c r="I786" s="404">
        <f>SUM(E786:H786)</f>
        <v/>
      </c>
      <c r="J786" s="404" t="n"/>
      <c r="K786" s="404" t="n"/>
      <c r="L786" s="418" t="n"/>
      <c r="M786" s="420" t="n"/>
      <c r="N786" s="488" t="inlineStr">
        <is>
          <t>math, mod</t>
        </is>
      </c>
      <c r="O786" s="488" t="n">
        <v>109</v>
      </c>
      <c r="P786" s="488" t="n">
        <v>5</v>
      </c>
    </row>
    <row r="787" ht="15.75" customHeight="1" s="279">
      <c r="A787" s="420" t="inlineStr">
        <is>
          <t>Quiz</t>
        </is>
      </c>
      <c r="B787" s="475">
        <f>HYPERLINK("http://codeforces.com/contest/337/problem/C","CF337-D2-C")</f>
        <v/>
      </c>
      <c r="C787" s="418" t="n"/>
      <c r="D787" s="418" t="n"/>
      <c r="E787" s="418" t="n"/>
      <c r="F787" s="418" t="n"/>
      <c r="G787" s="418" t="n"/>
      <c r="H787" s="418" t="n"/>
      <c r="I787" s="404">
        <f>SUM(E787:H787)</f>
        <v/>
      </c>
      <c r="J787" s="404" t="n"/>
      <c r="K787" s="404" t="n"/>
      <c r="L787" s="418" t="n"/>
      <c r="M787" s="420" t="n"/>
      <c r="N787" s="488" t="inlineStr">
        <is>
          <t>math, mod, pow, greedy</t>
        </is>
      </c>
      <c r="O787" s="488" t="n">
        <v>109</v>
      </c>
      <c r="P787" s="488" t="n">
        <v>5.5</v>
      </c>
      <c r="Q787" s="297" t="inlineStr">
        <is>
          <t>p3</t>
        </is>
      </c>
    </row>
    <row r="788" ht="15.75" customHeight="1" s="279">
      <c r="A788" s="420" t="inlineStr">
        <is>
          <t>Cows and Cars</t>
        </is>
      </c>
      <c r="B788" s="475">
        <f>HYPERLINK("https://uva.onlinejudge.org/index.php?option=onlinejudge&amp;page=show_problem&amp;problem=1432","UVA 10491")</f>
        <v/>
      </c>
      <c r="C788" s="418" t="n"/>
      <c r="D788" s="418" t="n"/>
      <c r="E788" s="418" t="n"/>
      <c r="F788" s="418" t="n"/>
      <c r="G788" s="418" t="n"/>
      <c r="H788" s="418" t="n"/>
      <c r="I788" s="404">
        <f>SUM(E788:H788)</f>
        <v/>
      </c>
      <c r="J788" s="404" t="n"/>
      <c r="K788" s="404" t="n"/>
      <c r="L788" s="418" t="n"/>
      <c r="M788" s="493">
        <f>HYPERLINK("https://www.probabilitycourse.com/","Revise Probability")</f>
        <v/>
      </c>
      <c r="N788" s="488" t="inlineStr">
        <is>
          <t>math, probability, formula, fraction style</t>
        </is>
      </c>
      <c r="O788" s="488" t="n">
        <v>113</v>
      </c>
      <c r="P788" s="488" t="n">
        <v>2</v>
      </c>
    </row>
    <row r="789" ht="15.75" customHeight="1" s="279">
      <c r="A789" s="420" t="inlineStr">
        <is>
          <t>What is the Probability?</t>
        </is>
      </c>
      <c r="B789" s="475">
        <f>HYPERLINK("https://uva.onlinejudge.org/index.php?option=com_onlinejudge&amp;Itemid=8&amp;page=show_problem&amp;problem=997","UVA 10056")</f>
        <v/>
      </c>
      <c r="C789" s="418" t="n"/>
      <c r="D789" s="418" t="n"/>
      <c r="E789" s="418" t="n"/>
      <c r="F789" s="418" t="n"/>
      <c r="G789" s="418" t="n"/>
      <c r="H789" s="418" t="n"/>
      <c r="I789" s="404">
        <f>SUM(E789:H789)</f>
        <v/>
      </c>
      <c r="J789" s="404" t="n"/>
      <c r="K789" s="404" t="n"/>
      <c r="L789" s="418" t="n"/>
      <c r="M789" s="493">
        <f>HYPERLINK("https://github.com/mostafa-saad/MyCompetitiveProgramming/blob/master/UVA/UVA_10056.txt","Sol")</f>
        <v/>
      </c>
      <c r="N789" s="488" t="inlineStr">
        <is>
          <t>math, probability</t>
        </is>
      </c>
      <c r="O789" s="488" t="n">
        <v>113</v>
      </c>
      <c r="P789" s="488" t="n">
        <v>3</v>
      </c>
    </row>
    <row r="790" ht="15.75" customHeight="1" s="279">
      <c r="A790" s="420" t="n"/>
      <c r="B790" s="475">
        <f>HYPERLINK("https://www.hackerrank.com/challenges/sherlock-and-probability","HACKR sherlock-and-probability")</f>
        <v/>
      </c>
      <c r="C790" s="418" t="n"/>
      <c r="D790" s="418" t="n"/>
      <c r="E790" s="418" t="n"/>
      <c r="F790" s="418" t="n"/>
      <c r="G790" s="418" t="n"/>
      <c r="H790" s="418" t="n"/>
      <c r="I790" s="404">
        <f>SUM(E790:H790)</f>
        <v/>
      </c>
      <c r="J790" s="418" t="n"/>
      <c r="K790" s="418" t="n"/>
      <c r="L790" s="418" t="n"/>
      <c r="M790" s="493">
        <f>HYPERLINK("https://github.com/MohamedNabil97/CompetitiveProgramming/blob/master/Hackerrank/sherlock-and-probability.cpp","Sol")</f>
        <v/>
      </c>
      <c r="N790" s="488" t="inlineStr">
        <is>
          <t>math, probability, fractions style</t>
        </is>
      </c>
      <c r="O790" s="488" t="n">
        <v>113</v>
      </c>
      <c r="P790" s="488" t="n">
        <v>3</v>
      </c>
    </row>
    <row r="791" ht="15.75" customHeight="1" s="279">
      <c r="A791" s="420" t="inlineStr">
        <is>
          <t>Probability|Given</t>
        </is>
      </c>
      <c r="B791" s="475">
        <f>HYPERLINK("https://uva.onlinejudge.org/index.php?option=com_onlinejudge&amp;Itemid=8&amp;page=show_problem&amp;problem=2122","UVA 11181")</f>
        <v/>
      </c>
      <c r="C791" s="418" t="n"/>
      <c r="D791" s="418" t="n"/>
      <c r="E791" s="418" t="n"/>
      <c r="F791" s="418" t="n"/>
      <c r="G791" s="418" t="n"/>
      <c r="H791" s="418" t="n"/>
      <c r="I791" s="404">
        <f>SUM(E791:H791)</f>
        <v/>
      </c>
      <c r="J791" s="404" t="n"/>
      <c r="K791" s="404" t="n"/>
      <c r="L791" s="418" t="n"/>
      <c r="M791" s="493">
        <f>HYPERLINK("https://github.com/MohamedNabil97/CompetitiveProgramming/blob/master/UVA/1181.cpp","Sol")</f>
        <v/>
      </c>
      <c r="N791" s="488" t="inlineStr">
        <is>
          <t>math, probability, conditional probability</t>
        </is>
      </c>
      <c r="O791" s="488" t="n">
        <v>113</v>
      </c>
      <c r="P791" s="488" t="n">
        <v>4</v>
      </c>
      <c r="Q791" s="297" t="inlineStr">
        <is>
          <t>p2</t>
        </is>
      </c>
    </row>
    <row r="792" ht="15.75" customHeight="1" s="279">
      <c r="A792" s="420" t="inlineStr">
        <is>
          <t>Another lottery</t>
        </is>
      </c>
      <c r="B792" s="475">
        <f>HYPERLINK("https://uva.onlinejudge.org/index.php?option=com_onlinejudge&amp;Itemid=8&amp;page=show_problem&amp;problem=2675","UVA 11628")</f>
        <v/>
      </c>
      <c r="C792" s="418" t="n"/>
      <c r="D792" s="418" t="n"/>
      <c r="E792" s="418" t="n"/>
      <c r="F792" s="418" t="n"/>
      <c r="G792" s="418" t="n"/>
      <c r="H792" s="418" t="n"/>
      <c r="I792" s="404">
        <f>SUM(E792:H792)</f>
        <v/>
      </c>
      <c r="J792" s="404" t="n"/>
      <c r="K792" s="404" t="n"/>
      <c r="L792" s="418" t="n"/>
      <c r="M792" s="493">
        <f>HYPERLINK("https://github.com/mostafa-saad/MyCompetitiveProgramming/blob/master/UVA/UVA_11628.txt","Sol")</f>
        <v/>
      </c>
      <c r="N792" s="488" t="inlineStr">
        <is>
          <t>math, probability, fraction style, gcd</t>
        </is>
      </c>
      <c r="O792" s="488" t="n">
        <v>113</v>
      </c>
      <c r="P792" s="488" t="n">
        <v>4</v>
      </c>
    </row>
    <row r="793" ht="15.75" customHeight="1" s="279">
      <c r="A793" s="420" t="inlineStr">
        <is>
          <t>Mushroom Scientists</t>
        </is>
      </c>
      <c r="B793" s="475">
        <f>HYPERLINK("http://codeforces.com/contest/186/problem/D","CF186-D2-D")</f>
        <v/>
      </c>
      <c r="C793" s="418" t="n"/>
      <c r="D793" s="418" t="n"/>
      <c r="E793" s="418" t="n"/>
      <c r="F793" s="418" t="n"/>
      <c r="G793" s="418" t="n"/>
      <c r="H793" s="418" t="n"/>
      <c r="I793" s="404">
        <f>SUM(E793:H793)</f>
        <v/>
      </c>
      <c r="J793" s="404" t="n"/>
      <c r="K793" s="404" t="n"/>
      <c r="L793" s="418" t="n"/>
      <c r="M793" s="420" t="n"/>
      <c r="N793" s="488" t="inlineStr">
        <is>
          <t>math, probability or log, ternary search</t>
        </is>
      </c>
      <c r="O793" s="488" t="n">
        <v>113</v>
      </c>
      <c r="P793" s="488" t="n">
        <v>5</v>
      </c>
      <c r="Q793" s="297" t="inlineStr">
        <is>
          <t>p4</t>
        </is>
      </c>
    </row>
    <row r="794" ht="15.75" customHeight="1" s="279">
      <c r="A794" s="420" t="n"/>
      <c r="B794" s="475">
        <f>HYPERLINK("http://codeforces.com/gym/101864/problem/A","CF101864-GYM-A")</f>
        <v/>
      </c>
      <c r="C794" s="418" t="n"/>
      <c r="D794" s="418" t="n"/>
      <c r="E794" s="418" t="n"/>
      <c r="F794" s="418" t="n"/>
      <c r="G794" s="418" t="n"/>
      <c r="H794" s="418" t="n"/>
      <c r="I794" s="404">
        <f>SUM(E794:H794)</f>
        <v/>
      </c>
      <c r="J794" s="404" t="n"/>
      <c r="K794" s="404" t="n"/>
      <c r="L794" s="512" t="n"/>
      <c r="M794" s="493">
        <f>HYPERLINK("https://github.com/SpeedOfMagic/CompetitiveProgramming/blob/master/CodeforcesGym/CF101864-GYM-A.cpp","Sol")</f>
        <v/>
      </c>
      <c r="N794" s="488" t="inlineStr">
        <is>
          <t>math, probability, combinatorics, math</t>
        </is>
      </c>
      <c r="O794" s="488" t="n">
        <v>113</v>
      </c>
      <c r="P794" s="488" t="n">
        <v>5</v>
      </c>
      <c r="Q794" s="297" t="inlineStr">
        <is>
          <t>p2</t>
        </is>
      </c>
    </row>
    <row r="795" ht="15.75" customHeight="1" s="279">
      <c r="A795" s="420" t="n"/>
      <c r="B795" s="420" t="inlineStr">
        <is>
          <t>SRM537-D2-1000</t>
        </is>
      </c>
      <c r="C795" s="418" t="n"/>
      <c r="D795" s="418" t="n"/>
      <c r="E795" s="418" t="n"/>
      <c r="F795" s="418" t="n"/>
      <c r="G795" s="418" t="n"/>
      <c r="H795" s="418" t="n"/>
      <c r="I795" s="404">
        <f>SUM(E795:H795)</f>
        <v/>
      </c>
      <c r="J795" s="418" t="n"/>
      <c r="K795" s="418" t="n"/>
      <c r="L795" s="512" t="n"/>
      <c r="M795" s="488" t="n"/>
      <c r="N795" s="488" t="inlineStr">
        <is>
          <t>math, probability, graph, cycle</t>
        </is>
      </c>
      <c r="O795" s="488" t="n">
        <v>113</v>
      </c>
      <c r="P795" s="488" t="n">
        <v>5</v>
      </c>
      <c r="Q795" s="297" t="inlineStr">
        <is>
          <t>p2</t>
        </is>
      </c>
    </row>
    <row r="796" ht="15.75" customHeight="1" s="279">
      <c r="A796" s="420" t="inlineStr">
        <is>
          <t>Airplane</t>
        </is>
      </c>
      <c r="B796" s="475">
        <f>HYPERLINK("https://uva.onlinejudge.org/index.php?option=com_onlinejudge&amp;Itemid=8&amp;page=show_problem&amp;problem=3904","UVA 12461")</f>
        <v/>
      </c>
      <c r="C796" s="418" t="n"/>
      <c r="D796" s="418" t="n"/>
      <c r="E796" s="418" t="n"/>
      <c r="F796" s="418" t="n"/>
      <c r="G796" s="418" t="n"/>
      <c r="H796" s="418" t="n"/>
      <c r="I796" s="404">
        <f>SUM(E796:H796)</f>
        <v/>
      </c>
      <c r="J796" s="404" t="n"/>
      <c r="K796" s="404" t="n"/>
      <c r="L796" s="418" t="n"/>
      <c r="M796" s="475">
        <f>HYPERLINK("https://github.com/VAMPIER000001/CompetitiveProgramming/blob/master/UVA/V-124/UVA%2012461.Cpp","Sol")</f>
        <v/>
      </c>
      <c r="N796" s="488" t="inlineStr">
        <is>
          <t>math, probability, greedy</t>
        </is>
      </c>
      <c r="O796" s="488" t="n">
        <v>113</v>
      </c>
      <c r="P796" s="488" t="n">
        <v>5</v>
      </c>
      <c r="Q796" s="297" t="inlineStr">
        <is>
          <t>p1</t>
        </is>
      </c>
    </row>
    <row r="797" ht="15.75" customHeight="1" s="279">
      <c r="A797" s="420" t="inlineStr">
        <is>
          <t>Probability</t>
        </is>
      </c>
      <c r="B797" s="475">
        <f>HYPERLINK("https://uva.onlinejudge.org/index.php?option=onlinejudge&amp;page=show_problem&amp;problem=2321","UVa 11346")</f>
        <v/>
      </c>
      <c r="C797" s="418" t="n"/>
      <c r="D797" s="418" t="n"/>
      <c r="E797" s="418" t="n"/>
      <c r="F797" s="418" t="n"/>
      <c r="G797" s="418" t="n"/>
      <c r="H797" s="418" t="n"/>
      <c r="I797" s="404">
        <f>SUM(E797:H797)</f>
        <v/>
      </c>
      <c r="J797" s="418" t="n"/>
      <c r="K797" s="418" t="n"/>
      <c r="L797" s="418" t="n"/>
      <c r="M797" s="493">
        <f>HYPERLINK("https://github.com/VAMPIER000001/CompetitiveProgramming/blob/master/UVA/V-113/UVA%2011346.cpp","Sol")</f>
        <v/>
      </c>
      <c r="N797" s="488" t="inlineStr">
        <is>
          <t>math, probability, integration</t>
        </is>
      </c>
      <c r="O797" s="488" t="n">
        <v>113</v>
      </c>
      <c r="P797" s="488" t="n">
        <v>5.25</v>
      </c>
      <c r="Q797" s="297" t="inlineStr">
        <is>
          <t>p3</t>
        </is>
      </c>
    </row>
    <row r="798" ht="15.75" customHeight="1" s="279">
      <c r="A798" s="420" t="n"/>
      <c r="B798" s="420" t="inlineStr">
        <is>
          <t>SRM285-D1-500</t>
        </is>
      </c>
      <c r="C798" s="418" t="n"/>
      <c r="D798" s="418" t="n"/>
      <c r="E798" s="418" t="n"/>
      <c r="F798" s="418" t="n"/>
      <c r="G798" s="418" t="n"/>
      <c r="H798" s="418" t="n"/>
      <c r="I798" s="404">
        <f>SUM(E798:H798)</f>
        <v/>
      </c>
      <c r="J798" s="418" t="n"/>
      <c r="K798" s="418" t="n"/>
      <c r="L798" s="418" t="n"/>
      <c r="M798" s="488" t="n"/>
      <c r="N798" s="488" t="inlineStr">
        <is>
          <t>math, probability, bf or dp</t>
        </is>
      </c>
      <c r="O798" s="488" t="n">
        <v>113</v>
      </c>
      <c r="P798" s="488" t="n">
        <v>5.5</v>
      </c>
      <c r="Q798" s="304" t="n"/>
    </row>
    <row r="799" ht="15.75" customHeight="1" s="279">
      <c r="A799" s="420" t="n"/>
      <c r="B799" s="475">
        <f>HYPERLINK("http://codeforces.com/contest/26/problem/D","CF26-D12-D")</f>
        <v/>
      </c>
      <c r="C799" s="418" t="n"/>
      <c r="D799" s="418" t="n"/>
      <c r="E799" s="418" t="n"/>
      <c r="F799" s="418" t="n"/>
      <c r="G799" s="418" t="n"/>
      <c r="H799" s="418" t="n"/>
      <c r="I799" s="404">
        <f>SUM(E799:H799)</f>
        <v/>
      </c>
      <c r="J799" s="418" t="n"/>
      <c r="K799" s="418" t="n"/>
      <c r="L799" s="418" t="n"/>
      <c r="M799" s="493">
        <f>HYPERLINK("https://github.com/mostafa-saad/MyCompetitiveProgramming/blob/master/Codeforces/CF26-D12-D.txt","Sol - must read")</f>
        <v/>
      </c>
      <c r="N799" s="488" t="inlineStr">
        <is>
          <t>math, probability, factorial, logarithm, combinatorics, reflection principle, [solve first spoj funprob]</t>
        </is>
      </c>
      <c r="O799" s="488" t="n">
        <v>113</v>
      </c>
      <c r="P799" s="488" t="n">
        <v>5.5</v>
      </c>
      <c r="Q799" s="297" t="inlineStr">
        <is>
          <t>p3</t>
        </is>
      </c>
    </row>
    <row r="800" ht="15.75" customHeight="1" s="279">
      <c r="A800" s="420" t="n"/>
      <c r="B800" s="475">
        <f>HYPERLINK("http://codeforces.com/problemset/problem/442/B","CF442-D1-B")</f>
        <v/>
      </c>
      <c r="C800" s="418" t="n"/>
      <c r="D800" s="418" t="n"/>
      <c r="E800" s="418" t="n"/>
      <c r="F800" s="418" t="n"/>
      <c r="G800" s="418" t="n"/>
      <c r="H800" s="418" t="n"/>
      <c r="I800" s="404">
        <f>SUM(E800:H800)</f>
        <v/>
      </c>
      <c r="J800" s="418" t="n"/>
      <c r="K800" s="418" t="n"/>
      <c r="L800" s="418" t="n"/>
      <c r="M800" s="420" t="n"/>
      <c r="N800" s="488" t="inlineStr">
        <is>
          <t>math, probability, sorting</t>
        </is>
      </c>
      <c r="O800" s="488" t="n">
        <v>113</v>
      </c>
      <c r="P800" s="488" t="n">
        <v>5.5</v>
      </c>
      <c r="Q800" s="297" t="inlineStr">
        <is>
          <t>p3</t>
        </is>
      </c>
    </row>
    <row r="801" ht="15.75" customHeight="1" s="279">
      <c r="A801" s="420" t="n"/>
      <c r="B801" s="420" t="inlineStr">
        <is>
          <t>SRM352-D2-1000</t>
        </is>
      </c>
      <c r="C801" s="418" t="n"/>
      <c r="D801" s="418" t="n"/>
      <c r="E801" s="418" t="n"/>
      <c r="F801" s="418" t="n"/>
      <c r="G801" s="418" t="n"/>
      <c r="H801" s="418" t="n"/>
      <c r="I801" s="404">
        <f>SUM(E801:H801)</f>
        <v/>
      </c>
      <c r="J801" s="404" t="n"/>
      <c r="K801" s="404" t="n"/>
      <c r="L801" s="418" t="n"/>
      <c r="M801" s="488" t="n"/>
      <c r="N801" s="488" t="inlineStr">
        <is>
          <t>math, probability, recursion, precision</t>
        </is>
      </c>
      <c r="O801" s="488" t="n">
        <v>113</v>
      </c>
      <c r="P801" s="488" t="n">
        <v>5.5</v>
      </c>
    </row>
    <row r="802" ht="15.75" customHeight="1" s="279">
      <c r="A802" s="420" t="n"/>
      <c r="B802" s="475">
        <f>HYPERLINK("http://codeforces.com/contest/513/problem/C","CF513-D12-C")</f>
        <v/>
      </c>
      <c r="C802" s="418" t="n"/>
      <c r="D802" s="418" t="n"/>
      <c r="E802" s="418" t="n"/>
      <c r="F802" s="418" t="n"/>
      <c r="G802" s="418" t="n"/>
      <c r="H802" s="418" t="n"/>
      <c r="I802" s="404">
        <f>SUM(E802:H802)</f>
        <v/>
      </c>
      <c r="J802" s="418" t="n"/>
      <c r="K802" s="418" t="n"/>
      <c r="L802" s="512" t="n"/>
      <c r="M802" s="493">
        <f>HYPERLINK("https://github.com/aabdelzaher/Competitive-Programming/blob/master/Codeforces/CF513-D12-C.java","Sol")</f>
        <v/>
      </c>
      <c r="N802" s="488" t="inlineStr">
        <is>
          <t>math, probability, bitmasks or dp_probability, [no editorial]</t>
        </is>
      </c>
      <c r="O802" s="488" t="n">
        <v>113</v>
      </c>
      <c r="P802" s="488" t="n">
        <v>6</v>
      </c>
      <c r="Q802" s="297" t="inlineStr">
        <is>
          <t>p3</t>
        </is>
      </c>
    </row>
    <row r="803" ht="15.75" customHeight="1" s="279">
      <c r="A803" s="420" t="n"/>
      <c r="B803" s="420" t="inlineStr">
        <is>
          <t>UVA 557</t>
        </is>
      </c>
      <c r="C803" s="418" t="n"/>
      <c r="D803" s="418" t="n"/>
      <c r="E803" s="418" t="n"/>
      <c r="F803" s="418" t="n"/>
      <c r="G803" s="418" t="n"/>
      <c r="H803" s="418" t="n"/>
      <c r="I803" s="404">
        <f>SUM(E803:H803)</f>
        <v/>
      </c>
      <c r="J803" s="418" t="n"/>
      <c r="K803" s="418" t="n"/>
      <c r="L803" s="418" t="n"/>
      <c r="M803" s="493">
        <f>HYPERLINK("https://github.com/aboodJAD/CompetitiveProgramming/blob/master/UVA/UVA%20557.cpp","Sol")</f>
        <v/>
      </c>
      <c r="N803" s="488" t="inlineStr">
        <is>
          <t>math, probability, combinatronics</t>
        </is>
      </c>
      <c r="O803" s="488" t="n">
        <v>113</v>
      </c>
      <c r="P803" s="488" t="n">
        <v>6</v>
      </c>
    </row>
    <row r="804" ht="15.75" customHeight="1" s="279">
      <c r="A804" s="420" t="n"/>
      <c r="B804" s="420" t="inlineStr">
        <is>
          <t>SPOJ FUNPROB</t>
        </is>
      </c>
      <c r="C804" s="418" t="n"/>
      <c r="D804" s="418" t="n"/>
      <c r="E804" s="418" t="n"/>
      <c r="F804" s="418" t="n"/>
      <c r="G804" s="418" t="n"/>
      <c r="H804" s="418" t="n"/>
      <c r="I804" s="404">
        <f>SUM(E804:H804)</f>
        <v/>
      </c>
      <c r="J804" s="404" t="n"/>
      <c r="K804" s="404" t="n"/>
      <c r="L804" s="418" t="n"/>
      <c r="M804" s="493">
        <f>HYPERLINK("https://stackoverflow.com/questions/25281005/calculating-probability-for-funprob","Sol")</f>
        <v/>
      </c>
      <c r="N804" s="488" t="inlineStr">
        <is>
          <t>math, probability, formula</t>
        </is>
      </c>
      <c r="O804" s="488" t="n">
        <v>113</v>
      </c>
      <c r="P804" s="488" t="n">
        <v>6</v>
      </c>
    </row>
    <row r="805" ht="15.75" customHeight="1" s="279">
      <c r="A805" s="420" t="n"/>
      <c r="B805" s="475">
        <f>HYPERLINK("http://codeforces.com/contest/163/problem/C","CF163-D12-C")</f>
        <v/>
      </c>
      <c r="C805" s="418" t="n"/>
      <c r="D805" s="418" t="n"/>
      <c r="E805" s="418" t="n"/>
      <c r="F805" s="418" t="n"/>
      <c r="G805" s="418" t="n"/>
      <c r="H805" s="418" t="n"/>
      <c r="I805" s="404">
        <f>SUM(E805:H805)</f>
        <v/>
      </c>
      <c r="J805" s="418" t="n"/>
      <c r="K805" s="418" t="n"/>
      <c r="L805" s="418" t="n"/>
      <c r="M805" s="420" t="n"/>
      <c r="N805" s="488" t="inlineStr">
        <is>
          <t>math, probability</t>
        </is>
      </c>
      <c r="O805" s="488" t="n">
        <v>113</v>
      </c>
      <c r="P805" s="488" t="n">
        <v>6.25</v>
      </c>
    </row>
    <row r="806" ht="15.75" customHeight="1" s="279">
      <c r="A806" s="420" t="n"/>
      <c r="B806" s="475">
        <f>HYPERLINK("http://codeforces.com/contest/110/problem/D","CF110-D2-D")</f>
        <v/>
      </c>
      <c r="C806" s="418" t="n"/>
      <c r="D806" s="418" t="n"/>
      <c r="E806" s="418" t="n"/>
      <c r="F806" s="418" t="n"/>
      <c r="G806" s="418" t="n"/>
      <c r="H806" s="418" t="n"/>
      <c r="I806" s="404">
        <f>SUM(E806:H806)</f>
        <v/>
      </c>
      <c r="J806" s="418" t="n"/>
      <c r="K806" s="418" t="n"/>
      <c r="L806" s="418" t="n"/>
      <c r="M806" s="420" t="n"/>
      <c r="N806" s="488" t="inlineStr">
        <is>
          <t>math, probability, combinatorics</t>
        </is>
      </c>
      <c r="O806" s="488" t="n">
        <v>113</v>
      </c>
      <c r="P806" s="488" t="n">
        <v>6.25</v>
      </c>
    </row>
    <row r="807" ht="15.75" customHeight="1" s="279">
      <c r="A807" s="420" t="inlineStr">
        <is>
          <t>God, Save me</t>
        </is>
      </c>
      <c r="B807" s="475">
        <f>HYPERLINK("https://uva.onlinejudge.org/index.php?option=com_onlinejudge&amp;Itemid=8&amp;page=show_problem&amp;problem=1718","UVA 10777")</f>
        <v/>
      </c>
      <c r="C807" s="418" t="n"/>
      <c r="D807" s="418" t="n"/>
      <c r="E807" s="418" t="n"/>
      <c r="F807" s="418" t="n"/>
      <c r="G807" s="418" t="n"/>
      <c r="H807" s="418" t="n"/>
      <c r="I807" s="404">
        <f>SUM(E807:H807)</f>
        <v/>
      </c>
      <c r="J807" s="404" t="n"/>
      <c r="K807" s="404" t="n"/>
      <c r="L807" s="418" t="n"/>
      <c r="M807" s="493">
        <f>HYPERLINK("https://github.com/ilyesG/Competitive-Programming/blob/master/UVA/UVA%2010777.cpp","Sol")</f>
        <v/>
      </c>
      <c r="N807" s="488" t="inlineStr">
        <is>
          <t>math, probability, expectation or dp_probability</t>
        </is>
      </c>
      <c r="O807" s="488" t="n">
        <v>114</v>
      </c>
      <c r="P807" s="488" t="n">
        <v>4</v>
      </c>
    </row>
    <row r="808" ht="15.75" customHeight="1" s="279">
      <c r="A808" s="420" t="n"/>
      <c r="B808" s="420" t="inlineStr">
        <is>
          <t>SRM458-D2-500</t>
        </is>
      </c>
      <c r="C808" s="418" t="n"/>
      <c r="D808" s="418" t="n"/>
      <c r="E808" s="418" t="n"/>
      <c r="F808" s="418" t="n"/>
      <c r="G808" s="418" t="n"/>
      <c r="H808" s="418" t="n"/>
      <c r="I808" s="404">
        <f>SUM(E808:H808)</f>
        <v/>
      </c>
      <c r="J808" s="404" t="n"/>
      <c r="K808" s="404" t="n"/>
      <c r="L808" s="418" t="n"/>
      <c r="M808" s="315" t="n"/>
      <c r="N808" s="488" t="inlineStr">
        <is>
          <t>math, probability, expectation, bitmasks</t>
        </is>
      </c>
      <c r="O808" s="488" t="n">
        <v>114</v>
      </c>
      <c r="P808" s="488" t="n">
        <v>4</v>
      </c>
    </row>
    <row r="809" ht="15.75" customHeight="1" s="279">
      <c r="A809" s="420" t="n"/>
      <c r="B809" s="475">
        <f>HYPERLINK("http://codeforces.com/contest/839/problem/C","CF839-D2-C")</f>
        <v/>
      </c>
      <c r="C809" s="418" t="n"/>
      <c r="D809" s="418" t="n"/>
      <c r="E809" s="418" t="n"/>
      <c r="F809" s="418" t="n"/>
      <c r="G809" s="418" t="n"/>
      <c r="H809" s="418" t="n"/>
      <c r="I809" s="404">
        <f>SUM(E809:H809)</f>
        <v/>
      </c>
      <c r="J809" s="404" t="n"/>
      <c r="K809" s="404" t="n"/>
      <c r="L809" s="418" t="n"/>
      <c r="M809" s="420" t="n"/>
      <c r="N809" s="488" t="inlineStr">
        <is>
          <t>math, probability, expectation, dfs</t>
        </is>
      </c>
      <c r="O809" s="488" t="n">
        <v>114</v>
      </c>
      <c r="P809" s="488" t="n">
        <v>4</v>
      </c>
    </row>
    <row r="810" ht="15.75" customHeight="1" s="279">
      <c r="A810" s="420" t="n"/>
      <c r="B810" s="475">
        <f>HYPERLINK("https://www.hackerrank.com/challenges/lazy-sorting","HACKR lazy-sorting")</f>
        <v/>
      </c>
      <c r="C810" s="418" t="n"/>
      <c r="D810" s="418" t="n"/>
      <c r="E810" s="418" t="n"/>
      <c r="F810" s="418" t="n"/>
      <c r="G810" s="418" t="n"/>
      <c r="H810" s="418" t="n"/>
      <c r="I810" s="404">
        <f>SUM(E810:H810)</f>
        <v/>
      </c>
      <c r="J810" s="404" t="n"/>
      <c r="K810" s="404" t="n"/>
      <c r="L810" s="418" t="n"/>
      <c r="M810" s="493">
        <f>HYPERLINK("https://www.youtube.com/watch?v=j__Kredt7vY","Revise Expected Value")</f>
        <v/>
      </c>
      <c r="N810" s="488" t="inlineStr">
        <is>
          <t>math, probability, expectation, permutation</t>
        </is>
      </c>
      <c r="O810" s="488" t="n">
        <v>114</v>
      </c>
      <c r="P810" s="488" t="n">
        <v>4</v>
      </c>
    </row>
    <row r="811" ht="15.75" customHeight="1" s="279">
      <c r="A811" s="420" t="inlineStr">
        <is>
          <t>Andrey and Problem</t>
        </is>
      </c>
      <c r="B811" s="475">
        <f>HYPERLINK("http://codeforces.com/contest/443/problem/D","CF443-D2-D")</f>
        <v/>
      </c>
      <c r="C811" s="418" t="n"/>
      <c r="D811" s="418" t="n"/>
      <c r="E811" s="418" t="n"/>
      <c r="F811" s="418" t="n"/>
      <c r="G811" s="418" t="n"/>
      <c r="H811" s="418" t="n"/>
      <c r="I811" s="404">
        <f>SUM(E811:H811)</f>
        <v/>
      </c>
      <c r="J811" s="418" t="n"/>
      <c r="K811" s="418" t="n"/>
      <c r="L811" s="512" t="n"/>
      <c r="M811" s="493">
        <f>HYPERLINK("http://codeforces.com/contest/443/submission/27060632","Sol")</f>
        <v/>
      </c>
      <c r="N811" s="488" t="inlineStr">
        <is>
          <t>math, probability, expectation, greedy or dp</t>
        </is>
      </c>
      <c r="O811" s="488" t="n">
        <v>114</v>
      </c>
      <c r="P811" s="488" t="n">
        <v>4.5</v>
      </c>
      <c r="Q811" s="297" t="inlineStr">
        <is>
          <t>p3</t>
        </is>
      </c>
    </row>
    <row r="812" ht="15.75" customHeight="1" s="279">
      <c r="A812" s="420" t="inlineStr">
        <is>
          <t>Wet Shark and Flowers</t>
        </is>
      </c>
      <c r="B812" s="475">
        <f>HYPERLINK("http://codeforces.com/contest/621/problem/C","CF621-D2-C")</f>
        <v/>
      </c>
      <c r="C812" s="418" t="n"/>
      <c r="D812" s="418" t="n"/>
      <c r="E812" s="418" t="n"/>
      <c r="F812" s="418" t="n"/>
      <c r="G812" s="418" t="n"/>
      <c r="H812" s="418" t="n"/>
      <c r="I812" s="404">
        <f>SUM(E812:H812)</f>
        <v/>
      </c>
      <c r="J812" s="404" t="n"/>
      <c r="K812" s="404" t="n"/>
      <c r="L812" s="418" t="n"/>
      <c r="M812" s="420" t="n"/>
      <c r="N812" s="488" t="inlineStr">
        <is>
          <t>math, probability, expectation</t>
        </is>
      </c>
      <c r="O812" s="488" t="n">
        <v>114</v>
      </c>
      <c r="P812" s="488" t="n">
        <v>4.5</v>
      </c>
    </row>
    <row r="813" ht="15.75" customHeight="1" s="279">
      <c r="A813" s="420" t="inlineStr">
        <is>
          <t>Little Pony and Expected Maximum</t>
        </is>
      </c>
      <c r="B813" s="475">
        <f>HYPERLINK("http://codeforces.com/contest/454/problem/C","CF454-D2-C")</f>
        <v/>
      </c>
      <c r="C813" s="418" t="n"/>
      <c r="D813" s="418" t="n"/>
      <c r="E813" s="418" t="n"/>
      <c r="F813" s="418" t="n"/>
      <c r="G813" s="418" t="n"/>
      <c r="H813" s="418" t="n"/>
      <c r="I813" s="404">
        <f>SUM(E813:H813)</f>
        <v/>
      </c>
      <c r="J813" s="404" t="n"/>
      <c r="K813" s="404" t="n"/>
      <c r="L813" s="418" t="n"/>
      <c r="M813" s="420" t="n"/>
      <c r="N813" s="488" t="inlineStr">
        <is>
          <t>math, probability, expectation, pattern</t>
        </is>
      </c>
      <c r="O813" s="488" t="n">
        <v>114</v>
      </c>
      <c r="P813" s="488" t="n">
        <v>4.5</v>
      </c>
    </row>
    <row r="814" ht="15.75" customHeight="1" s="279">
      <c r="A814" s="420" t="n"/>
      <c r="B814" s="475">
        <f>HYPERLINK("https://www.hackerrank.com/challenges/vertical-sticks","HACKR vertical-sticks")</f>
        <v/>
      </c>
      <c r="C814" s="418" t="n"/>
      <c r="D814" s="418" t="n"/>
      <c r="E814" s="418" t="n"/>
      <c r="F814" s="418" t="n"/>
      <c r="G814" s="418" t="n"/>
      <c r="H814" s="418" t="n"/>
      <c r="I814" s="404">
        <f>SUM(E814:H814)</f>
        <v/>
      </c>
      <c r="J814" s="418" t="n"/>
      <c r="K814" s="418" t="n"/>
      <c r="L814" s="418" t="n"/>
      <c r="M814" s="488" t="n"/>
      <c r="N814" s="488" t="inlineStr">
        <is>
          <t>math, probability, expectation, linearity of expectation</t>
        </is>
      </c>
      <c r="O814" s="488" t="n">
        <v>114</v>
      </c>
      <c r="P814" s="488" t="n">
        <v>5</v>
      </c>
      <c r="Q814" s="297" t="inlineStr">
        <is>
          <t>p3</t>
        </is>
      </c>
    </row>
    <row r="815" ht="15.75" customHeight="1" s="279">
      <c r="A815" s="420" t="n"/>
      <c r="B815" s="420" t="inlineStr">
        <is>
          <t>SRM577-D1-250</t>
        </is>
      </c>
      <c r="C815" s="418" t="n"/>
      <c r="D815" s="418" t="n"/>
      <c r="E815" s="418" t="n"/>
      <c r="F815" s="418" t="n"/>
      <c r="G815" s="418" t="n"/>
      <c r="H815" s="418" t="n"/>
      <c r="I815" s="404">
        <f>SUM(E815:H815)</f>
        <v/>
      </c>
      <c r="J815" s="404" t="n"/>
      <c r="K815" s="404" t="n"/>
      <c r="L815" s="418" t="n"/>
      <c r="M815" s="420" t="n"/>
      <c r="N815" s="488" t="inlineStr">
        <is>
          <t>math, probability, expectation, linearity of expectation or dp_probability or greedy</t>
        </is>
      </c>
      <c r="O815" s="488" t="n">
        <v>114</v>
      </c>
      <c r="P815" s="488" t="n">
        <v>5</v>
      </c>
      <c r="Q815" s="297" t="inlineStr">
        <is>
          <t>p3</t>
        </is>
      </c>
    </row>
    <row r="816" ht="15.75" customHeight="1" s="279">
      <c r="A816" s="420" t="n"/>
      <c r="B816" s="420" t="inlineStr">
        <is>
          <t>SRM470-D1-500</t>
        </is>
      </c>
      <c r="C816" s="418" t="n"/>
      <c r="D816" s="418" t="n"/>
      <c r="E816" s="418" t="n"/>
      <c r="F816" s="418" t="n"/>
      <c r="G816" s="418" t="n"/>
      <c r="H816" s="418" t="n"/>
      <c r="I816" s="404">
        <f>SUM(E816:H816)</f>
        <v/>
      </c>
      <c r="J816" s="418" t="n"/>
      <c r="K816" s="418" t="n"/>
      <c r="L816" s="418" t="n"/>
      <c r="M816" s="420" t="n"/>
      <c r="N816" s="488" t="inlineStr">
        <is>
          <t>math, probability, expectation</t>
        </is>
      </c>
      <c r="O816" s="488" t="n">
        <v>114</v>
      </c>
      <c r="P816" s="488" t="n">
        <v>5.5</v>
      </c>
      <c r="Q816" s="297" t="inlineStr">
        <is>
          <t>p2</t>
        </is>
      </c>
    </row>
    <row r="817" ht="15.75" customHeight="1" s="279">
      <c r="A817" s="420" t="n"/>
      <c r="B817" s="475">
        <f>HYPERLINK("http://codeforces.com/contest/500/problem/D","CF500-D12-D")</f>
        <v/>
      </c>
      <c r="C817" s="418" t="n"/>
      <c r="D817" s="418" t="n"/>
      <c r="E817" s="418" t="n"/>
      <c r="F817" s="418" t="n"/>
      <c r="G817" s="418" t="n"/>
      <c r="H817" s="418" t="n"/>
      <c r="I817" s="404">
        <f>SUM(E817:H817)</f>
        <v/>
      </c>
      <c r="J817" s="418" t="n"/>
      <c r="K817" s="418" t="n"/>
      <c r="L817" s="418" t="n"/>
      <c r="M817" s="488" t="n"/>
      <c r="N817" s="488" t="inlineStr">
        <is>
          <t>math, probability, expectation, dfs</t>
        </is>
      </c>
      <c r="O817" s="488" t="n">
        <v>114</v>
      </c>
      <c r="P817" s="488" t="n">
        <v>5.5</v>
      </c>
      <c r="Q817" s="297" t="inlineStr">
        <is>
          <t>p2</t>
        </is>
      </c>
    </row>
    <row r="818" ht="15.75" customHeight="1" s="279">
      <c r="A818" s="420" t="n"/>
      <c r="B818" s="475">
        <f>HYPERLINK("http://codeforces.com/contest/280/problem/C","CF280-D1-C")</f>
        <v/>
      </c>
      <c r="C818" s="418" t="n"/>
      <c r="D818" s="418" t="n"/>
      <c r="E818" s="418" t="n"/>
      <c r="F818" s="418" t="n"/>
      <c r="G818" s="418" t="n"/>
      <c r="H818" s="418" t="n"/>
      <c r="I818" s="404">
        <f>SUM(E818:H818)</f>
        <v/>
      </c>
      <c r="J818" s="418" t="n"/>
      <c r="K818" s="418" t="n"/>
      <c r="L818" s="418" t="n"/>
      <c r="M818" s="420" t="n"/>
      <c r="N818" s="488" t="inlineStr">
        <is>
          <t>math, probability, expectation, dfs or dp</t>
        </is>
      </c>
      <c r="O818" s="488" t="n">
        <v>114</v>
      </c>
      <c r="P818" s="488" t="n">
        <v>6</v>
      </c>
      <c r="Q818" s="297" t="inlineStr">
        <is>
          <t>p3</t>
        </is>
      </c>
    </row>
    <row r="819" ht="15.75" customHeight="1" s="279">
      <c r="A819" s="420" t="inlineStr">
        <is>
          <t>Playlist</t>
        </is>
      </c>
      <c r="B819" s="475">
        <f>HYPERLINK("http://codeforces.com/contest/268/problem/E","CF268-D2-E")</f>
        <v/>
      </c>
      <c r="C819" s="418" t="n"/>
      <c r="D819" s="418" t="n"/>
      <c r="E819" s="418" t="n"/>
      <c r="F819" s="418" t="n"/>
      <c r="G819" s="418" t="n"/>
      <c r="H819" s="418" t="n"/>
      <c r="I819" s="404">
        <f>SUM(E819:H819)</f>
        <v/>
      </c>
      <c r="J819" s="418" t="n"/>
      <c r="K819" s="418" t="n"/>
      <c r="L819" s="512" t="n"/>
      <c r="M819" s="493">
        <f>HYPERLINK("https://github.com/3agwa/CompetitiveProgramming/blob/master/CodeForces/CF268-D2-E.cpp","Sol")</f>
        <v/>
      </c>
      <c r="N819" s="488" t="inlineStr">
        <is>
          <t>math, probability, expectation, formula, greedy or dp_probability</t>
        </is>
      </c>
      <c r="O819" s="488" t="n">
        <v>114</v>
      </c>
      <c r="P819" s="488" t="n">
        <v>6</v>
      </c>
      <c r="Q819" s="297" t="inlineStr">
        <is>
          <t>p3</t>
        </is>
      </c>
    </row>
    <row r="820" ht="15.75" customHeight="1" s="279">
      <c r="A820" s="420" t="inlineStr">
        <is>
          <t>Big Mod</t>
        </is>
      </c>
      <c r="B820" s="475">
        <f>HYPERLINK("https://uva.onlinejudge.org/index.php?option=onlinejudge&amp;page=show_problem&amp;problem=310","UVA 374")</f>
        <v/>
      </c>
      <c r="C820" s="418" t="n"/>
      <c r="D820" s="418" t="n"/>
      <c r="E820" s="418" t="n"/>
      <c r="F820" s="418" t="n"/>
      <c r="G820" s="418" t="n"/>
      <c r="H820" s="418" t="n"/>
      <c r="I820" s="404">
        <f>SUM(E820:H820)</f>
        <v/>
      </c>
      <c r="J820" s="404" t="n"/>
      <c r="K820" s="404" t="n"/>
      <c r="L820" s="418" t="n"/>
      <c r="M820" s="420" t="n"/>
      <c r="N820" s="488" t="inlineStr">
        <is>
          <t>math, repeated squaring, mod, direct</t>
        </is>
      </c>
      <c r="O820" s="488" t="n">
        <v>115</v>
      </c>
      <c r="P820" s="488" t="n">
        <v>3</v>
      </c>
    </row>
    <row r="821" ht="15.75" customHeight="1" s="279">
      <c r="A821" s="420" t="inlineStr">
        <is>
          <t>Twin Primes</t>
        </is>
      </c>
      <c r="B821" s="475">
        <f>HYPERLINK("https://uva.onlinejudge.org/index.php?option=onlinejudge&amp;page=show_problem&amp;problem=1335","UVA 10394")</f>
        <v/>
      </c>
      <c r="C821" s="418" t="n"/>
      <c r="D821" s="418" t="n"/>
      <c r="E821" s="418" t="n"/>
      <c r="F821" s="418" t="n"/>
      <c r="G821" s="418" t="n"/>
      <c r="H821" s="418" t="n"/>
      <c r="I821" s="404">
        <f>SUM(E821:H821)</f>
        <v/>
      </c>
      <c r="J821" s="404" t="n"/>
      <c r="K821" s="404" t="n"/>
      <c r="L821" s="418" t="n"/>
      <c r="M821" s="421" t="n"/>
      <c r="N821" s="488" t="inlineStr">
        <is>
          <t>math, sieve</t>
        </is>
      </c>
      <c r="O821" s="488" t="n">
        <v>117</v>
      </c>
      <c r="P821" s="488" t="n">
        <v>3</v>
      </c>
    </row>
    <row r="822" ht="15.75" customHeight="1" s="279">
      <c r="A822" s="420" t="inlineStr">
        <is>
          <t>Factorial Factors</t>
        </is>
      </c>
      <c r="B822" s="475">
        <f>HYPERLINK("https://uva.onlinejudge.org/index.php?option=com_onlinejudge&amp;Itemid=8&amp;page=show_problem&amp;problem=825","UVA 884")</f>
        <v/>
      </c>
      <c r="C822" s="418" t="n"/>
      <c r="D822" s="418" t="n"/>
      <c r="E822" s="418" t="n"/>
      <c r="F822" s="418" t="n"/>
      <c r="G822" s="418" t="n"/>
      <c r="H822" s="418" t="n"/>
      <c r="I822" s="404">
        <f>SUM(E822:H822)</f>
        <v/>
      </c>
      <c r="J822" s="404" t="n"/>
      <c r="K822" s="404" t="n"/>
      <c r="L822" s="418" t="n"/>
      <c r="M822" s="420" t="n"/>
      <c r="N822" s="488" t="inlineStr">
        <is>
          <t>math, sieve, factorization</t>
        </is>
      </c>
      <c r="O822" s="488" t="n">
        <v>117</v>
      </c>
      <c r="P822" s="488" t="n">
        <v>3.5</v>
      </c>
    </row>
    <row r="823" ht="15.75" customHeight="1" s="279">
      <c r="A823" s="420" t="inlineStr">
        <is>
          <t>Psycho</t>
        </is>
      </c>
      <c r="B823" s="475">
        <f>HYPERLINK("http://www.spoj.com/problems/PSYCHON/","SPOJ PSYCHON")</f>
        <v/>
      </c>
      <c r="C823" s="418" t="n"/>
      <c r="D823" s="418" t="n"/>
      <c r="E823" s="418" t="n"/>
      <c r="F823" s="418" t="n"/>
      <c r="G823" s="418" t="n"/>
      <c r="H823" s="418" t="n"/>
      <c r="I823" s="404">
        <f>SUM(E823:H823)</f>
        <v/>
      </c>
      <c r="J823" s="404" t="n"/>
      <c r="K823" s="404" t="n"/>
      <c r="L823" s="512" t="n"/>
      <c r="M823" s="488" t="n"/>
      <c r="N823" s="488" t="inlineStr">
        <is>
          <t>math, sieve, factorization, tricky big # test cases</t>
        </is>
      </c>
      <c r="O823" s="488" t="n">
        <v>117</v>
      </c>
      <c r="P823" s="488" t="n">
        <v>4</v>
      </c>
      <c r="Q823" s="297" t="inlineStr">
        <is>
          <t>p2</t>
        </is>
      </c>
    </row>
    <row r="824" ht="15.75" customHeight="1" s="279">
      <c r="A824" s="420" t="inlineStr">
        <is>
          <t xml:space="preserve">Summation of Four </t>
        </is>
      </c>
      <c r="B824" s="475">
        <f>HYPERLINK("https://uva.onlinejudge.org/index.php?option=onlinejudge&amp;page=show_problem&amp;problem=1109","UVA 10168")</f>
        <v/>
      </c>
      <c r="C824" s="418" t="n"/>
      <c r="D824" s="418" t="n"/>
      <c r="E824" s="418" t="n"/>
      <c r="F824" s="418" t="n"/>
      <c r="G824" s="418" t="n"/>
      <c r="H824" s="418" t="n"/>
      <c r="I824" s="404">
        <f>SUM(E824:H824)</f>
        <v/>
      </c>
      <c r="J824" s="404" t="n"/>
      <c r="K824" s="404" t="n"/>
      <c r="L824" s="418" t="n"/>
      <c r="M824" s="421">
        <f>HYPERLINK("https://www.youtube.com/watch?v=BztjeBZmzco&amp;feature=youtu.be","Video Solution - Eng Moaz Rashad")</f>
        <v/>
      </c>
      <c r="N824" s="488" t="inlineStr">
        <is>
          <t>math, sieve</t>
        </is>
      </c>
      <c r="O824" s="488" t="n">
        <v>117</v>
      </c>
      <c r="P824" s="488" t="n">
        <v>4</v>
      </c>
    </row>
    <row r="825" ht="15.75" customHeight="1" s="279">
      <c r="A825" s="420" t="inlineStr">
        <is>
          <t>Primes or Palindromes?</t>
        </is>
      </c>
      <c r="B825" s="475">
        <f>HYPERLINK("http://codeforces.com/contest/569/problem/C","CF569-D2-C")</f>
        <v/>
      </c>
      <c r="C825" s="418" t="n"/>
      <c r="D825" s="418" t="n"/>
      <c r="E825" s="418" t="n"/>
      <c r="F825" s="418" t="n"/>
      <c r="G825" s="418" t="n"/>
      <c r="H825" s="418" t="n"/>
      <c r="I825" s="404">
        <f>SUM(E825:H825)</f>
        <v/>
      </c>
      <c r="J825" s="404" t="n"/>
      <c r="K825" s="404" t="n"/>
      <c r="L825" s="418" t="n"/>
      <c r="M825" s="420" t="n"/>
      <c r="N825" s="488" t="inlineStr">
        <is>
          <t>math, sieve, palindromes</t>
        </is>
      </c>
      <c r="O825" s="488" t="n">
        <v>117</v>
      </c>
      <c r="P825" s="488" t="n">
        <v>4.5</v>
      </c>
      <c r="Q825" s="297" t="inlineStr">
        <is>
          <t>p3</t>
        </is>
      </c>
    </row>
    <row r="826" ht="15.75" customHeight="1" s="279">
      <c r="A826" s="420" t="inlineStr">
        <is>
          <t>Divisibility of Factors</t>
        </is>
      </c>
      <c r="B826" s="475">
        <f>HYPERLINK("https://uva.onlinejudge.org/index.php?option=onlinejudge&amp;page=show_problem&amp;problem=1425","UVA 10484")</f>
        <v/>
      </c>
      <c r="C826" s="418" t="n"/>
      <c r="D826" s="418" t="n"/>
      <c r="E826" s="418" t="n"/>
      <c r="F826" s="418" t="n"/>
      <c r="G826" s="418" t="n"/>
      <c r="H826" s="418" t="n"/>
      <c r="I826" s="404">
        <f>SUM(E826:H826)</f>
        <v/>
      </c>
      <c r="J826" s="404" t="n"/>
      <c r="K826" s="404" t="n"/>
      <c r="L826" s="418" t="n"/>
      <c r="M826" s="475">
        <f>HYPERLINK("https://github.com/mostafa-saad/MyCompetitiveProgramming/blob/master/UVA/UVA_10484.txt","Sol to read")</f>
        <v/>
      </c>
      <c r="N826" s="488" t="inlineStr">
        <is>
          <t>math, sieve</t>
        </is>
      </c>
      <c r="O826" s="488" t="n">
        <v>117</v>
      </c>
      <c r="P826" s="488" t="n">
        <v>4.5</v>
      </c>
      <c r="Q826" s="297" t="inlineStr">
        <is>
          <t>p2</t>
        </is>
      </c>
    </row>
    <row r="827" ht="15.75" customHeight="1" s="279">
      <c r="A827" s="420" t="n"/>
      <c r="B827" s="420" t="inlineStr">
        <is>
          <t>LIVEARCHIVE 4008</t>
        </is>
      </c>
      <c r="C827" s="418" t="n"/>
      <c r="D827" s="418" t="n"/>
      <c r="E827" s="418" t="n"/>
      <c r="F827" s="418" t="n"/>
      <c r="G827" s="418" t="n"/>
      <c r="H827" s="418" t="n"/>
      <c r="I827" s="404">
        <f>SUM(E827:H827)</f>
        <v/>
      </c>
      <c r="J827" s="418" t="n"/>
      <c r="K827" s="418" t="n"/>
      <c r="L827" s="512" t="n"/>
      <c r="M827" s="488" t="n"/>
      <c r="N827" s="488" t="inlineStr">
        <is>
          <t>math, sieve, [last non zero digit of permutations]</t>
        </is>
      </c>
      <c r="O827" s="488" t="n">
        <v>117</v>
      </c>
      <c r="P827" s="488" t="n">
        <v>5.5</v>
      </c>
      <c r="Q827" s="297" t="inlineStr">
        <is>
          <t>p2</t>
        </is>
      </c>
    </row>
    <row r="828" ht="15.75" customHeight="1" s="279">
      <c r="A828" s="420" t="inlineStr">
        <is>
          <t>The New Rule in Euphomia</t>
        </is>
      </c>
      <c r="B828" s="475">
        <f>HYPERLINK("https://uva.onlinejudge.org/index.php?option=com_onlinejudge&amp;Itemid=8&amp;page=show_problem&amp;problem=1683","UVA 10742")</f>
        <v/>
      </c>
      <c r="C828" s="418" t="n"/>
      <c r="D828" s="418" t="n"/>
      <c r="E828" s="418" t="n"/>
      <c r="F828" s="418" t="n"/>
      <c r="G828" s="418" t="n"/>
      <c r="H828" s="418" t="n"/>
      <c r="I828" s="404">
        <f>SUM(E828:H828)</f>
        <v/>
      </c>
      <c r="J828" s="404" t="n"/>
      <c r="K828" s="404" t="n"/>
      <c r="L828" s="512" t="n"/>
      <c r="M828" s="493">
        <f>HYPERLINK("https://github.com/abdullaAshraf/Problem-Solving/blob/master/UVA/10742.cpp","Sol")</f>
        <v/>
      </c>
      <c r="N828" s="488" t="inlineStr">
        <is>
          <t>math, sieve, binary search</t>
        </is>
      </c>
      <c r="O828" s="488" t="n">
        <v>117</v>
      </c>
      <c r="P828" s="488" t="n">
        <v>5.5</v>
      </c>
    </row>
    <row r="829" ht="15.75" customHeight="1" s="279">
      <c r="A829" s="420" t="inlineStr">
        <is>
          <t>Sum-up the Primes</t>
        </is>
      </c>
      <c r="B829" s="475">
        <f>HYPERLINK("https://uva.onlinejudge.org/index.php?option=com_onlinejudge&amp;Itemid=8&amp;page=show_problem&amp;problem=1360","UVA 10419")</f>
        <v/>
      </c>
      <c r="C829" s="418" t="n"/>
      <c r="D829" s="418" t="n"/>
      <c r="E829" s="418" t="n"/>
      <c r="F829" s="418" t="n"/>
      <c r="G829" s="418" t="n"/>
      <c r="H829" s="418" t="n"/>
      <c r="I829" s="404">
        <f>SUM(E829:H829)</f>
        <v/>
      </c>
      <c r="J829" s="404" t="n"/>
      <c r="K829" s="404" t="n"/>
      <c r="L829" s="512" t="n"/>
      <c r="M829" s="493">
        <f>HYPERLINK("https://github.com/BRAINOOOO/CompetitiveProgramming/blob/master/UVA/V-104/UVA%2010419.Cpp","Sol")</f>
        <v/>
      </c>
      <c r="N829" s="488" t="inlineStr">
        <is>
          <t>math, sieve, dfs, dp</t>
        </is>
      </c>
      <c r="O829" s="488" t="n">
        <v>117</v>
      </c>
      <c r="P829" s="488" t="n">
        <v>5.5</v>
      </c>
    </row>
    <row r="830" ht="15.75" customHeight="1" s="279">
      <c r="A830" s="420" t="inlineStr">
        <is>
          <t>Flying Saucer Segments</t>
        </is>
      </c>
      <c r="B830" s="475">
        <f>HYPERLINK("http://codeforces.com/contest/227/problem/C","CF227-D2-C")</f>
        <v/>
      </c>
      <c r="C830" s="418" t="n"/>
      <c r="D830" s="418" t="n"/>
      <c r="E830" s="418" t="n"/>
      <c r="F830" s="418" t="n"/>
      <c r="G830" s="418" t="n"/>
      <c r="H830" s="418" t="n"/>
      <c r="I830" s="404">
        <f>SUM(E830:H830)</f>
        <v/>
      </c>
      <c r="J830" s="404" t="n"/>
      <c r="K830" s="404" t="n"/>
      <c r="L830" s="418" t="n"/>
      <c r="M830" s="420" t="n"/>
      <c r="N830" s="488" t="inlineStr">
        <is>
          <t>math, summations</t>
        </is>
      </c>
      <c r="O830" s="488" t="n">
        <v>118</v>
      </c>
      <c r="P830" s="488" t="n">
        <v>4.5</v>
      </c>
      <c r="Q830" s="297" t="inlineStr">
        <is>
          <t>p3</t>
        </is>
      </c>
    </row>
    <row r="831" ht="15.75" customHeight="1" s="279">
      <c r="A831" s="420" t="inlineStr">
        <is>
          <t>Dreamoon and Sums</t>
        </is>
      </c>
      <c r="B831" s="475">
        <f>HYPERLINK("http://codeforces.com/contest/476/problem/C","CF476-D2-C")</f>
        <v/>
      </c>
      <c r="C831" s="418" t="n"/>
      <c r="D831" s="418" t="n"/>
      <c r="E831" s="418" t="n"/>
      <c r="F831" s="418" t="n"/>
      <c r="G831" s="418" t="n"/>
      <c r="H831" s="418" t="n"/>
      <c r="I831" s="404">
        <f>SUM(E831:H831)</f>
        <v/>
      </c>
      <c r="J831" s="404" t="n"/>
      <c r="K831" s="404" t="n"/>
      <c r="L831" s="418" t="n"/>
      <c r="M831" s="475">
        <f>HYPERLINK("https://www.youtube.com/watch?v=KS9POnQMfmY","Video Solution - Dr Mostafa Saad")</f>
        <v/>
      </c>
      <c r="N831" s="488" t="inlineStr">
        <is>
          <t>math, summations, [in my videos]</t>
        </is>
      </c>
      <c r="O831" s="488" t="n">
        <v>118</v>
      </c>
      <c r="P831" s="488" t="n">
        <v>5</v>
      </c>
      <c r="Q831" s="297" t="inlineStr">
        <is>
          <t>p3</t>
        </is>
      </c>
    </row>
    <row r="832" ht="15.75" customHeight="1" s="279">
      <c r="A832" s="420" t="n"/>
      <c r="B832" s="475">
        <f>HYPERLINK("http://codeforces.com/contest/201/problem/B","CF201-D1-B")</f>
        <v/>
      </c>
      <c r="C832" s="418" t="n"/>
      <c r="D832" s="418" t="n"/>
      <c r="E832" s="418" t="n"/>
      <c r="F832" s="418" t="n"/>
      <c r="G832" s="418" t="n"/>
      <c r="H832" s="418" t="n"/>
      <c r="I832" s="404">
        <f>SUM(E832:H832)</f>
        <v/>
      </c>
      <c r="J832" s="404" t="n"/>
      <c r="K832" s="404" t="n"/>
      <c r="L832" s="418" t="n"/>
      <c r="M832" s="420" t="n"/>
      <c r="N832" s="488" t="inlineStr">
        <is>
          <t>math, summations, seperate summations or ternary or analytical, [bad texr]</t>
        </is>
      </c>
      <c r="O832" s="488" t="n">
        <v>118</v>
      </c>
      <c r="P832" s="488" t="n">
        <v>5</v>
      </c>
      <c r="Q832" s="297" t="inlineStr">
        <is>
          <t>p2</t>
        </is>
      </c>
    </row>
    <row r="833" ht="15.75" customHeight="1" s="279">
      <c r="A833" s="420" t="inlineStr">
        <is>
          <t>Spongebob and Squares</t>
        </is>
      </c>
      <c r="B833" s="475">
        <f>HYPERLINK("http://codeforces.com/contest/599/problem/D","CF599-D2-D")</f>
        <v/>
      </c>
      <c r="C833" s="418" t="n"/>
      <c r="D833" s="418" t="n"/>
      <c r="E833" s="418" t="n"/>
      <c r="F833" s="418" t="n"/>
      <c r="G833" s="418" t="n"/>
      <c r="H833" s="418" t="n"/>
      <c r="I833" s="404">
        <f>SUM(E833:H833)</f>
        <v/>
      </c>
      <c r="J833" s="418" t="n"/>
      <c r="K833" s="418" t="n"/>
      <c r="L833" s="512" t="n"/>
      <c r="M833" s="488" t="n"/>
      <c r="N833" s="488" t="inlineStr">
        <is>
          <t>math, summations, bf, [overflow]</t>
        </is>
      </c>
      <c r="O833" s="488" t="n">
        <v>118</v>
      </c>
      <c r="P833" s="488" t="n">
        <v>6</v>
      </c>
      <c r="Q833" s="297" t="inlineStr">
        <is>
          <t>p2</t>
        </is>
      </c>
    </row>
    <row r="834" ht="45.75" customHeight="1" s="279">
      <c r="A834" s="420" t="inlineStr">
        <is>
          <t>Largest Rectangle in a Histogram</t>
        </is>
      </c>
      <c r="B834" s="475">
        <f>HYPERLINK("http://www.spoj.com/problems/HISTOGRA/","SPOJ HISTOGRA")</f>
        <v/>
      </c>
      <c r="C834" s="418" t="n"/>
      <c r="D834" s="418" t="n"/>
      <c r="E834" s="418" t="n"/>
      <c r="F834" s="418" t="n"/>
      <c r="G834" s="418" t="n"/>
      <c r="H834" s="418" t="n"/>
      <c r="I834" s="404">
        <f>SUM(E834:H834)</f>
        <v/>
      </c>
      <c r="J834" s="404" t="n"/>
      <c r="K834" s="404" t="n"/>
      <c r="L834" s="512" t="n"/>
      <c r="M834" s="493">
        <f>HYPERLINK("https://github.com/mostafa-saad/MyCompetitiveProgramming/blob/master/SPOJ/SPOJ_HISTOGRA.txt","Sol. Don't implement as adhock/greedy/Pure STL. Use a data structure.")</f>
        <v/>
      </c>
      <c r="N834" s="488" t="inlineStr">
        <is>
          <t>rmq, d&amp;c or datastructure, [largest rectangle in a histogram, ~=uva 12462 = srm337-d1-500 = uva 11871 = spoj ctgame]</t>
        </is>
      </c>
      <c r="O834" s="488" t="n">
        <v>122</v>
      </c>
      <c r="P834" s="488" t="n">
        <v>4.5</v>
      </c>
      <c r="Q834" s="297" t="inlineStr">
        <is>
          <t>p4</t>
        </is>
      </c>
    </row>
    <row r="835" ht="15.75" customHeight="1" s="279">
      <c r="A835" s="420" t="inlineStr">
        <is>
          <t>R2D2 and Droid Army</t>
        </is>
      </c>
      <c r="B835" s="475">
        <f>HYPERLINK("http://codeforces.com/problemset/problem/514/D","CF514-D2-D")</f>
        <v/>
      </c>
      <c r="C835" s="418" t="n"/>
      <c r="D835" s="418" t="n"/>
      <c r="E835" s="418" t="n"/>
      <c r="F835" s="418" t="n"/>
      <c r="G835" s="418" t="n"/>
      <c r="H835" s="418" t="n"/>
      <c r="I835" s="404">
        <f>SUM(E835:H835)</f>
        <v/>
      </c>
      <c r="J835" s="512" t="n"/>
      <c r="K835" s="512" t="n"/>
      <c r="L835" s="418" t="n"/>
      <c r="M835" s="488" t="inlineStr">
        <is>
          <t>Use rmq</t>
        </is>
      </c>
      <c r="N835" s="488" t="inlineStr">
        <is>
          <t>rmq, binary search or bit or two pointers</t>
        </is>
      </c>
      <c r="O835" s="488" t="n">
        <v>122</v>
      </c>
      <c r="P835" s="488" t="n">
        <v>5</v>
      </c>
      <c r="Q835" s="297" t="inlineStr">
        <is>
          <t>p3</t>
        </is>
      </c>
    </row>
    <row r="836" ht="15.75" customHeight="1" s="279">
      <c r="A836" s="420" t="inlineStr">
        <is>
          <t>Friends and Subsequences</t>
        </is>
      </c>
      <c r="B836" s="475">
        <f>HYPERLINK("http://codeforces.com/contest/689/problem/D","CF689-D2-D")</f>
        <v/>
      </c>
      <c r="C836" s="418" t="n"/>
      <c r="D836" s="418" t="n"/>
      <c r="E836" s="418" t="n"/>
      <c r="F836" s="418" t="n"/>
      <c r="G836" s="418" t="n"/>
      <c r="H836" s="418" t="n"/>
      <c r="I836" s="404">
        <f>SUM(E836:H836)</f>
        <v/>
      </c>
      <c r="J836" s="418" t="n"/>
      <c r="K836" s="418" t="n"/>
      <c r="L836" s="512" t="n"/>
      <c r="M836" s="488" t="n"/>
      <c r="N836" s="488" t="inlineStr">
        <is>
          <t>rmq, sparce table, binary search or datastructures or bit or segment tree</t>
        </is>
      </c>
      <c r="O836" s="488" t="n">
        <v>122</v>
      </c>
      <c r="P836" s="488" t="n">
        <v>5</v>
      </c>
      <c r="Q836" s="297" t="inlineStr">
        <is>
          <t>p3</t>
        </is>
      </c>
    </row>
    <row r="837" ht="15.75" customHeight="1" s="279">
      <c r="A837" s="420" t="inlineStr">
        <is>
          <t>Pair of Numbers</t>
        </is>
      </c>
      <c r="B837" s="475">
        <f>HYPERLINK("http://codeforces.com/contest/359/problem/D","CF359-D2-D")</f>
        <v/>
      </c>
      <c r="C837" s="418" t="n"/>
      <c r="D837" s="418" t="n"/>
      <c r="E837" s="418" t="n"/>
      <c r="F837" s="418" t="n"/>
      <c r="G837" s="418" t="n"/>
      <c r="H837" s="418" t="n"/>
      <c r="I837" s="404">
        <f>SUM(E837:H837)</f>
        <v/>
      </c>
      <c r="J837" s="418" t="n"/>
      <c r="K837" s="418" t="n"/>
      <c r="L837" s="512" t="n"/>
      <c r="M837" s="493">
        <f>HYPERLINK("https://github.com/osamahatem/CompetitiveProgramming/blob/master/Codeforces/359D.%20Pair%20of%20Numbers.cpp","Sol")</f>
        <v/>
      </c>
      <c r="N837" s="488" t="inlineStr">
        <is>
          <t>rmq, binary search, gcd, analysis or stack</t>
        </is>
      </c>
      <c r="O837" s="488" t="n">
        <v>122</v>
      </c>
      <c r="P837" s="488" t="n">
        <v>5.5</v>
      </c>
      <c r="Q837" s="297" t="inlineStr">
        <is>
          <t>p2</t>
        </is>
      </c>
    </row>
    <row r="838" ht="15.75" customHeight="1" s="279">
      <c r="A838" s="420" t="inlineStr">
        <is>
          <t>Square Subsets</t>
        </is>
      </c>
      <c r="B838" s="475">
        <f>HYPERLINK("http://codeforces.com/contest/895/problem/C","CF448-D2-C")</f>
        <v/>
      </c>
      <c r="C838" s="418" t="n"/>
      <c r="D838" s="418" t="n"/>
      <c r="E838" s="418" t="n"/>
      <c r="F838" s="418" t="n"/>
      <c r="G838" s="418" t="n"/>
      <c r="H838" s="418" t="n"/>
      <c r="I838" s="404">
        <f>SUM(E838:H838)</f>
        <v/>
      </c>
      <c r="J838" s="418" t="n"/>
      <c r="K838" s="418" t="n"/>
      <c r="L838" s="512" t="n"/>
      <c r="M838" s="488" t="n"/>
      <c r="N838" s="488" t="inlineStr">
        <is>
          <t>search, d&amp;c, greedy</t>
        </is>
      </c>
      <c r="O838" s="488" t="n">
        <v>123</v>
      </c>
      <c r="P838" s="488" t="n">
        <v>4.5</v>
      </c>
    </row>
    <row r="839" ht="15.75" customHeight="1" s="279">
      <c r="A839" s="420" t="inlineStr">
        <is>
          <t>Potentiometers</t>
        </is>
      </c>
      <c r="B839" s="475">
        <f>HYPERLINK("https://icpcarchive.ecs.baylor.edu/index.php?option=com_onlinejudge&amp;Itemid=8&amp;page=show_problem&amp;problem=192","LIVEARCHIVE 2191")</f>
        <v/>
      </c>
      <c r="C839" s="418" t="n"/>
      <c r="D839" s="418" t="n"/>
      <c r="E839" s="418" t="n"/>
      <c r="F839" s="418" t="n"/>
      <c r="G839" s="418" t="n"/>
      <c r="H839" s="418" t="n"/>
      <c r="I839" s="404">
        <f>SUM(E839:H839)</f>
        <v/>
      </c>
      <c r="J839" s="404" t="n"/>
      <c r="K839" s="404" t="n"/>
      <c r="L839" s="418" t="n"/>
      <c r="M839" s="420" t="n"/>
      <c r="N839" s="488" t="inlineStr">
        <is>
          <t>segment tree, [interval sum query]</t>
        </is>
      </c>
      <c r="O839" s="488" t="n">
        <v>125</v>
      </c>
      <c r="P839" s="488" t="n">
        <v>2</v>
      </c>
      <c r="Q839" s="297" t="inlineStr">
        <is>
          <t>p3</t>
        </is>
      </c>
    </row>
    <row r="840" ht="15.75" customHeight="1" s="279">
      <c r="A840" s="420" t="inlineStr">
        <is>
          <t>Interval Product</t>
        </is>
      </c>
      <c r="B840" s="475">
        <f>HYPERLINK("https://uva.onlinejudge.org/index.php?option=com_onlinejudge&amp;Itemid=8&amp;page=show_problem&amp;problem=3977","UVA 12532")</f>
        <v/>
      </c>
      <c r="C840" s="418" t="n"/>
      <c r="D840" s="418" t="n"/>
      <c r="E840" s="418" t="n"/>
      <c r="F840" s="418" t="n"/>
      <c r="G840" s="418" t="n"/>
      <c r="H840" s="418" t="n"/>
      <c r="I840" s="404">
        <f>SUM(E840:H840)</f>
        <v/>
      </c>
      <c r="J840" s="404" t="n"/>
      <c r="K840" s="404" t="n"/>
      <c r="L840" s="418" t="n"/>
      <c r="M840" s="420" t="n"/>
      <c r="N840" s="488" t="inlineStr">
        <is>
          <t>segment tree or bit, [~=tju 3440]</t>
        </is>
      </c>
      <c r="O840" s="488" t="n">
        <v>125</v>
      </c>
      <c r="P840" s="488" t="n">
        <v>2</v>
      </c>
    </row>
    <row r="841" ht="15.75" customHeight="1" s="279">
      <c r="A841" s="420" t="inlineStr">
        <is>
          <t>Halt The War</t>
        </is>
      </c>
      <c r="B841" s="475">
        <f>HYPERLINK("http://www.spoj.com/problems/CDC12_H","SPOJ CDC12_H")</f>
        <v/>
      </c>
      <c r="C841" s="418" t="n"/>
      <c r="D841" s="418" t="n"/>
      <c r="E841" s="418" t="n"/>
      <c r="F841" s="418" t="n"/>
      <c r="G841" s="418" t="n"/>
      <c r="H841" s="418" t="n"/>
      <c r="I841" s="404">
        <f>SUM(E841:H841)</f>
        <v/>
      </c>
      <c r="J841" s="418" t="n"/>
      <c r="K841" s="418" t="n"/>
      <c r="L841" s="418" t="n"/>
      <c r="M841" s="420" t="n"/>
      <c r="N841" s="488" t="inlineStr">
        <is>
          <t>segment tree</t>
        </is>
      </c>
      <c r="O841" s="488" t="n">
        <v>125</v>
      </c>
      <c r="P841" s="488" t="n">
        <v>3.5</v>
      </c>
    </row>
    <row r="842" ht="15.75" customHeight="1" s="279">
      <c r="A842" s="420" t="inlineStr">
        <is>
          <t>Multiples of 3</t>
        </is>
      </c>
      <c r="B842" s="475">
        <f>HYPERLINK("http://www.spoj.com/problems/MULTQ3/","SPOJ MULTQ3")</f>
        <v/>
      </c>
      <c r="C842" s="418" t="n"/>
      <c r="D842" s="418" t="n"/>
      <c r="E842" s="418" t="n"/>
      <c r="F842" s="418" t="n"/>
      <c r="G842" s="418" t="n"/>
      <c r="H842" s="418" t="n"/>
      <c r="I842" s="404">
        <f>SUM(E842:H842)</f>
        <v/>
      </c>
      <c r="J842" s="418" t="n"/>
      <c r="K842" s="418" t="n"/>
      <c r="L842" s="512" t="n"/>
      <c r="M842" s="493">
        <f>HYPERLINK("https://github.com/BRAINOOOO/CompetitiveProgramming/blob/master/Spoj/SPOJ%20MULTQ3.Cpp","Sol")</f>
        <v/>
      </c>
      <c r="N842" s="488" t="inlineStr">
        <is>
          <t>segment tree, lazy propagation</t>
        </is>
      </c>
      <c r="O842" s="488" t="n">
        <v>125</v>
      </c>
      <c r="P842" s="488" t="n">
        <v>4</v>
      </c>
      <c r="Q842" s="297" t="inlineStr">
        <is>
          <t>p3</t>
        </is>
      </c>
    </row>
    <row r="843" ht="15.75" customHeight="1" s="279">
      <c r="A843" s="420" t="inlineStr">
        <is>
          <t>Horrible Queries</t>
        </is>
      </c>
      <c r="B843" s="475">
        <f>HYPERLINK("http://www.spoj.com/problems/HORRIBLE","SPOJ HORRIBLE")</f>
        <v/>
      </c>
      <c r="C843" s="418" t="n"/>
      <c r="D843" s="418" t="n"/>
      <c r="E843" s="418" t="n"/>
      <c r="F843" s="418" t="n"/>
      <c r="G843" s="418" t="n"/>
      <c r="H843" s="418" t="n"/>
      <c r="I843" s="404">
        <f>SUM(E843:H843)</f>
        <v/>
      </c>
      <c r="J843" s="418" t="n"/>
      <c r="K843" s="418" t="n"/>
      <c r="L843" s="418" t="n"/>
      <c r="M843" s="420" t="n"/>
      <c r="N843" s="488" t="inlineStr">
        <is>
          <t>segment tree, lazy propagation or bit</t>
        </is>
      </c>
      <c r="O843" s="488" t="n">
        <v>125</v>
      </c>
      <c r="P843" s="488" t="n">
        <v>4</v>
      </c>
      <c r="Q843" s="297" t="inlineStr">
        <is>
          <t>p1</t>
        </is>
      </c>
    </row>
    <row r="844" ht="15.75" customHeight="1" s="279">
      <c r="A844" s="420" t="inlineStr">
        <is>
          <t>Counting Primes</t>
        </is>
      </c>
      <c r="B844" s="475">
        <f>HYPERLINK("http://www.spoj.com/problems/CNTPRIME","SPOJ CNTPRIME")</f>
        <v/>
      </c>
      <c r="C844" s="418" t="n"/>
      <c r="D844" s="418" t="n"/>
      <c r="E844" s="418" t="n"/>
      <c r="F844" s="418" t="n"/>
      <c r="G844" s="418" t="n"/>
      <c r="H844" s="418" t="n"/>
      <c r="I844" s="404">
        <f>SUM(E844:H844)</f>
        <v/>
      </c>
      <c r="J844" s="418" t="n"/>
      <c r="K844" s="418" t="n"/>
      <c r="L844" s="418" t="n"/>
      <c r="M844" s="420" t="n"/>
      <c r="N844" s="488" t="inlineStr">
        <is>
          <t>segment tree, sieve</t>
        </is>
      </c>
      <c r="O844" s="488" t="n">
        <v>125</v>
      </c>
      <c r="P844" s="488" t="n">
        <v>4</v>
      </c>
      <c r="Q844" s="297" t="inlineStr">
        <is>
          <t>p1</t>
        </is>
      </c>
    </row>
    <row r="845" ht="15.75" customHeight="1" s="279">
      <c r="A845" s="420" t="inlineStr">
        <is>
          <t>Maximum Sum</t>
        </is>
      </c>
      <c r="B845" s="475">
        <f>HYPERLINK("http://www.spoj.com/problems/KGSS/","SPOJ KGSS")</f>
        <v/>
      </c>
      <c r="C845" s="418" t="n"/>
      <c r="D845" s="418" t="n"/>
      <c r="E845" s="418" t="n"/>
      <c r="F845" s="418" t="n"/>
      <c r="G845" s="418" t="n"/>
      <c r="H845" s="418" t="n"/>
      <c r="I845" s="404">
        <f>SUM(E845:H845)</f>
        <v/>
      </c>
      <c r="J845" s="404" t="n"/>
      <c r="K845" s="404" t="n"/>
      <c r="L845" s="418" t="n"/>
      <c r="M845" s="420" t="n"/>
      <c r="N845" s="488" t="inlineStr">
        <is>
          <t>segment tree, [max pair sum]</t>
        </is>
      </c>
      <c r="O845" s="488" t="n">
        <v>125</v>
      </c>
      <c r="P845" s="488" t="n">
        <v>4.5</v>
      </c>
      <c r="Q845" s="297" t="inlineStr">
        <is>
          <t>p3</t>
        </is>
      </c>
    </row>
    <row r="846" ht="15.75" customHeight="1" s="279">
      <c r="A846" s="420" t="inlineStr">
        <is>
          <t>A Famous City</t>
        </is>
      </c>
      <c r="B846" s="475">
        <f>HYPERLINK("http://www.spoj.com/problems/CITY2/","SPOJ CITY2")</f>
        <v/>
      </c>
      <c r="C846" s="418" t="n"/>
      <c r="D846" s="418" t="n"/>
      <c r="E846" s="418" t="n"/>
      <c r="F846" s="418" t="n"/>
      <c r="G846" s="418" t="n"/>
      <c r="H846" s="418" t="n"/>
      <c r="I846" s="404">
        <f>SUM(E846:H846)</f>
        <v/>
      </c>
      <c r="J846" s="404" t="n"/>
      <c r="K846" s="404" t="n"/>
      <c r="L846" s="512" t="n"/>
      <c r="M846" s="493">
        <f>HYPERLINK("https://github.com/mostafa-saad/MyCompetitiveProgramming/blob/master/SPOJ/SPOJ_CITY2.txt","Sol")</f>
        <v/>
      </c>
      <c r="N846" s="488" t="inlineStr">
        <is>
          <t>segment tree or adhoc</t>
        </is>
      </c>
      <c r="O846" s="488" t="n">
        <v>125</v>
      </c>
      <c r="P846" s="488" t="n">
        <v>4.5</v>
      </c>
      <c r="Q846" s="297" t="inlineStr">
        <is>
          <t>p2</t>
        </is>
      </c>
    </row>
    <row r="847" ht="15.75" customHeight="1" s="279">
      <c r="A847" s="420" t="inlineStr">
        <is>
          <t>Help R2-D2!</t>
        </is>
      </c>
      <c r="B847" s="475">
        <f>HYPERLINK("http://www.spoj.com/problems/HELPR2D2","SPOJ HELPR2D2")</f>
        <v/>
      </c>
      <c r="C847" s="418" t="n"/>
      <c r="D847" s="418" t="n"/>
      <c r="E847" s="418" t="n"/>
      <c r="F847" s="418" t="n"/>
      <c r="G847" s="418" t="n"/>
      <c r="H847" s="418" t="n"/>
      <c r="I847" s="404">
        <f>SUM(E847:H847)</f>
        <v/>
      </c>
      <c r="J847" s="418" t="n"/>
      <c r="K847" s="418" t="n"/>
      <c r="L847" s="418" t="n"/>
      <c r="M847" s="488" t="n"/>
      <c r="N847" s="488" t="inlineStr">
        <is>
          <t>segment tree, impl</t>
        </is>
      </c>
      <c r="O847" s="488" t="n">
        <v>125</v>
      </c>
      <c r="P847" s="488" t="n">
        <v>4.5</v>
      </c>
      <c r="Q847" s="297" t="inlineStr">
        <is>
          <t>p2</t>
        </is>
      </c>
    </row>
    <row r="848" ht="15.75" customHeight="1" s="279">
      <c r="A848" s="420" t="inlineStr">
        <is>
          <t>Light Switching</t>
        </is>
      </c>
      <c r="B848" s="475">
        <f>HYPERLINK("http://www.spoj.com/problems/LITE/","SPOJ LITE")</f>
        <v/>
      </c>
      <c r="C848" s="418" t="n"/>
      <c r="D848" s="418" t="n"/>
      <c r="E848" s="418" t="n"/>
      <c r="F848" s="418" t="n"/>
      <c r="G848" s="418" t="n"/>
      <c r="H848" s="418" t="n"/>
      <c r="I848" s="404">
        <f>SUM(E848:H848)</f>
        <v/>
      </c>
      <c r="J848" s="404" t="n"/>
      <c r="K848" s="404" t="n"/>
      <c r="L848" s="418" t="n"/>
      <c r="M848" s="420" t="n"/>
      <c r="N848" s="488" t="inlineStr">
        <is>
          <t>segment tree, lazy propagation, [edu]</t>
        </is>
      </c>
      <c r="O848" s="488" t="n">
        <v>125</v>
      </c>
      <c r="P848" s="488" t="n">
        <v>4.5</v>
      </c>
      <c r="Q848" s="297" t="inlineStr">
        <is>
          <t>p1</t>
        </is>
      </c>
    </row>
    <row r="849" ht="15.75" customHeight="1" s="279">
      <c r="A849" s="420" t="inlineStr">
        <is>
          <t>Circular RMQ</t>
        </is>
      </c>
      <c r="B849" s="475">
        <f>HYPERLINK("http://codeforces.com/contest/52/problem/C","CF52-D12-C")</f>
        <v/>
      </c>
      <c r="C849" s="418" t="n"/>
      <c r="D849" s="418" t="n"/>
      <c r="E849" s="418" t="n"/>
      <c r="F849" s="418" t="n"/>
      <c r="G849" s="418" t="n"/>
      <c r="H849" s="418" t="n"/>
      <c r="I849" s="404">
        <f>SUM(E849:H849)</f>
        <v/>
      </c>
      <c r="J849" s="418" t="n"/>
      <c r="K849" s="418" t="n"/>
      <c r="L849" s="418" t="n"/>
      <c r="M849" s="488" t="n"/>
      <c r="N849" s="488" t="inlineStr">
        <is>
          <t>segment tree, lazy propagation, circular</t>
        </is>
      </c>
      <c r="O849" s="488" t="n">
        <v>125</v>
      </c>
      <c r="P849" s="488" t="n">
        <v>4.5</v>
      </c>
    </row>
    <row r="850" ht="15.75" customHeight="1" s="279">
      <c r="A850" s="420" t="inlineStr">
        <is>
          <t>Brackets</t>
        </is>
      </c>
      <c r="B850" s="475">
        <f>HYPERLINK("http://www.spoj.com/problems/BRCKTS","SPOJ BRCKTS")</f>
        <v/>
      </c>
      <c r="C850" s="418" t="n"/>
      <c r="D850" s="418" t="n"/>
      <c r="E850" s="418" t="n"/>
      <c r="F850" s="418" t="n"/>
      <c r="G850" s="418" t="n"/>
      <c r="H850" s="418" t="n"/>
      <c r="I850" s="404">
        <f>SUM(E850:H850)</f>
        <v/>
      </c>
      <c r="J850" s="418" t="n"/>
      <c r="K850" s="418" t="n"/>
      <c r="L850" s="418" t="n"/>
      <c r="M850" s="493">
        <f>HYPERLINK("https://github.com/AliOsm/CompetitiveProgramming/blob/master/SPOJ/BRCKTS%20-%20Brackets.cpp","Sol")</f>
        <v/>
      </c>
      <c r="N850" s="488" t="inlineStr">
        <is>
          <t>segment tree, [bracket balance, 2 values in segtree]</t>
        </is>
      </c>
      <c r="O850" s="488" t="n">
        <v>125</v>
      </c>
      <c r="P850" s="488" t="n">
        <v>5</v>
      </c>
      <c r="Q850" s="297" t="inlineStr">
        <is>
          <t>p3</t>
        </is>
      </c>
    </row>
    <row r="851" ht="15.75" customHeight="1" s="279">
      <c r="A851" s="420" t="inlineStr">
        <is>
          <t>Can you answer these queries I</t>
        </is>
      </c>
      <c r="B851" s="475">
        <f>HYPERLINK("http://www.spoj.com/problems/GSS1/","SPOJ GSS1")</f>
        <v/>
      </c>
      <c r="C851" s="418" t="n"/>
      <c r="D851" s="418" t="n"/>
      <c r="E851" s="418" t="n"/>
      <c r="F851" s="418" t="n"/>
      <c r="G851" s="418" t="n"/>
      <c r="H851" s="418" t="n"/>
      <c r="I851" s="404">
        <f>SUM(E851:H851)</f>
        <v/>
      </c>
      <c r="J851" s="418" t="n"/>
      <c r="K851" s="418" t="n"/>
      <c r="L851" s="517" t="n"/>
      <c r="M851" s="493">
        <f>HYPERLINK("https://github.com/AliOsm/CompetitiveProgramming/blob/master/SPOJ/GSS1%20-%20Can%20you%20answer%20these%20queries%20I.cpp","Sol")</f>
        <v/>
      </c>
      <c r="N851" s="488" t="inlineStr">
        <is>
          <t>segment tree, [max sum, part of gss series: http://blog.csdn.net/bhiaibogf/article/details/50719199]</t>
        </is>
      </c>
      <c r="O851" s="488" t="n">
        <v>125</v>
      </c>
      <c r="P851" s="488" t="n">
        <v>5</v>
      </c>
      <c r="Q851" s="297" t="inlineStr">
        <is>
          <t>p3</t>
        </is>
      </c>
    </row>
    <row r="852" ht="15.75" customHeight="1" s="279">
      <c r="A852" s="420" t="inlineStr">
        <is>
          <t>RMQ with Shifts</t>
        </is>
      </c>
      <c r="B852" s="475">
        <f>HYPERLINK("https://uva.onlinejudge.org/index.php?option=com_onlinejudge&amp;Itemid=8&amp;page=show_problem&amp;problem=3720","UVA 12299")</f>
        <v/>
      </c>
      <c r="C852" s="418" t="n"/>
      <c r="D852" s="418" t="n"/>
      <c r="E852" s="418" t="n"/>
      <c r="F852" s="418" t="n"/>
      <c r="G852" s="418" t="n"/>
      <c r="H852" s="418" t="n"/>
      <c r="I852" s="404">
        <f>SUM(E852:H852)</f>
        <v/>
      </c>
      <c r="J852" s="404" t="n"/>
      <c r="K852" s="404" t="n"/>
      <c r="L852" s="512" t="n"/>
      <c r="M852" s="493">
        <f>HYPERLINK("https://github.com/Emsawy/CompetitiveProgramming/blob/master/UVA/12299.cpp","See sscanf and sprintf usage")</f>
        <v/>
      </c>
      <c r="N852" s="488" t="inlineStr">
        <is>
          <t>segment tree, rmq shift</t>
        </is>
      </c>
      <c r="O852" s="488" t="n">
        <v>125</v>
      </c>
      <c r="P852" s="488" t="n">
        <v>5</v>
      </c>
      <c r="Q852" s="297" t="inlineStr">
        <is>
          <t>p3</t>
        </is>
      </c>
    </row>
    <row r="853" ht="15.75" customHeight="1" s="279">
      <c r="A853" s="420" t="inlineStr">
        <is>
          <t>AND Rounds</t>
        </is>
      </c>
      <c r="B853" s="475">
        <f>HYPERLINK("http://www.spoj.com/problems/ANDROUND","SPOJ ANDROUND")</f>
        <v/>
      </c>
      <c r="C853" s="418" t="n"/>
      <c r="D853" s="418" t="n"/>
      <c r="E853" s="418" t="n"/>
      <c r="F853" s="418" t="n"/>
      <c r="G853" s="418" t="n"/>
      <c r="H853" s="418" t="n"/>
      <c r="I853" s="404">
        <f>SUM(E853:H853)</f>
        <v/>
      </c>
      <c r="J853" s="404" t="n"/>
      <c r="K853" s="404" t="n"/>
      <c r="L853" s="512" t="n"/>
      <c r="M853" s="493">
        <f>HYPERLINK("https://github.com/AliOsm/CompetitiveProgramming/blob/master/SPOJ/ANDROUND%20-%20AND%20Rounds.cpp","Sol")</f>
        <v/>
      </c>
      <c r="N853" s="488" t="inlineStr">
        <is>
          <t>segment tree</t>
        </is>
      </c>
      <c r="O853" s="488" t="n">
        <v>125</v>
      </c>
      <c r="P853" s="488" t="n">
        <v>5</v>
      </c>
      <c r="Q853" s="297" t="inlineStr">
        <is>
          <t>p2</t>
        </is>
      </c>
    </row>
    <row r="854" ht="15.75" customHeight="1" s="279">
      <c r="A854" s="420" t="inlineStr">
        <is>
          <t>Ahoy, Pirates!</t>
        </is>
      </c>
      <c r="B854" s="475">
        <f>HYPERLINK("https://uva.onlinejudge.org/index.php?option=com_onlinejudge&amp;Itemid=8&amp;page=show_problem&amp;problem=2397","UVA 11402")</f>
        <v/>
      </c>
      <c r="C854" s="418" t="n"/>
      <c r="D854" s="418" t="n"/>
      <c r="E854" s="418" t="n"/>
      <c r="F854" s="418" t="n"/>
      <c r="G854" s="418" t="n"/>
      <c r="H854" s="418" t="n"/>
      <c r="I854" s="404">
        <f>SUM(E854:H854)</f>
        <v/>
      </c>
      <c r="J854" s="418" t="n"/>
      <c r="K854" s="418" t="n"/>
      <c r="L854" s="418" t="n"/>
      <c r="M854" s="493">
        <f>HYPERLINK("https://github.com/hosamk92/CompetitiveProgramming/blob/master/UVA/UVA%2011402.cpp","Sol")</f>
        <v/>
      </c>
      <c r="N854" s="488" t="inlineStr">
        <is>
          <t>segment tree, lazy propagation or datastructures</t>
        </is>
      </c>
      <c r="O854" s="488" t="n">
        <v>125</v>
      </c>
      <c r="P854" s="488" t="n">
        <v>5</v>
      </c>
      <c r="Q854" s="297" t="inlineStr">
        <is>
          <t>p2</t>
        </is>
      </c>
    </row>
    <row r="855" ht="15.75" customHeight="1" s="279">
      <c r="A855" s="420" t="inlineStr">
        <is>
          <t>Present</t>
        </is>
      </c>
      <c r="B855" s="475">
        <f>HYPERLINK("http://codeforces.com/contest/460/problem/C","CF460-D2-C")</f>
        <v/>
      </c>
      <c r="C855" s="418" t="n"/>
      <c r="D855" s="418" t="n"/>
      <c r="E855" s="418" t="n"/>
      <c r="F855" s="418" t="n"/>
      <c r="G855" s="418" t="n"/>
      <c r="H855" s="418" t="n"/>
      <c r="I855" s="404">
        <f>SUM(E855:H855)</f>
        <v/>
      </c>
      <c r="J855" s="418" t="n"/>
      <c r="K855" s="418" t="n"/>
      <c r="L855" s="418" t="n"/>
      <c r="M855" s="488" t="n"/>
      <c r="N855" s="488" t="inlineStr">
        <is>
          <t>segment tree, lazy propagation, greedy or binary search</t>
        </is>
      </c>
      <c r="O855" s="488" t="n">
        <v>125</v>
      </c>
      <c r="P855" s="488" t="n">
        <v>5</v>
      </c>
      <c r="Q855" s="297" t="inlineStr">
        <is>
          <t>p2</t>
        </is>
      </c>
    </row>
    <row r="856" ht="15.75" customHeight="1" s="279">
      <c r="A856" s="420" t="inlineStr">
        <is>
          <t>Fence Obstacle Course</t>
        </is>
      </c>
      <c r="B856" s="475">
        <f>HYPERLINK("http://poj.org/problem?id=2374","PKU 2374")</f>
        <v/>
      </c>
      <c r="C856" s="418" t="n"/>
      <c r="D856" s="418" t="n"/>
      <c r="E856" s="418" t="n"/>
      <c r="F856" s="418" t="n"/>
      <c r="G856" s="418" t="n"/>
      <c r="H856" s="418" t="n"/>
      <c r="I856" s="404">
        <f>SUM(E856:H856)</f>
        <v/>
      </c>
      <c r="J856" s="418" t="n"/>
      <c r="K856" s="418" t="n"/>
      <c r="L856" s="512" t="n"/>
      <c r="M856" s="493">
        <f>HYPERLINK("https://github.com/mostafa-saad/MyCompetitiveProgramming/blob/master/PKU/PKU_2374.txt","Sol")</f>
        <v/>
      </c>
      <c r="N856" s="488" t="inlineStr">
        <is>
          <t>segment tree, dp or dp</t>
        </is>
      </c>
      <c r="O856" s="488" t="n">
        <v>125</v>
      </c>
      <c r="P856" s="488" t="n">
        <v>5</v>
      </c>
      <c r="Q856" s="297" t="inlineStr">
        <is>
          <t>p1</t>
        </is>
      </c>
    </row>
    <row r="857" ht="15.75" customHeight="1" s="279">
      <c r="A857" s="420" t="n"/>
      <c r="B857" s="475">
        <f>HYPERLINK("https://codeforces.com/problemset/problem/61/E","CF61-D2-E")</f>
        <v/>
      </c>
      <c r="C857" s="418" t="n"/>
      <c r="D857" s="418" t="n"/>
      <c r="E857" s="418" t="n"/>
      <c r="F857" s="418" t="n"/>
      <c r="G857" s="418" t="n"/>
      <c r="H857" s="418" t="n"/>
      <c r="I857" s="404">
        <f>SUM(E857:H857)</f>
        <v/>
      </c>
      <c r="J857" s="404" t="n"/>
      <c r="K857" s="404" t="n"/>
      <c r="L857" s="418" t="n"/>
      <c r="M857" s="520" t="n"/>
      <c r="N857" s="488" t="inlineStr">
        <is>
          <t>segment tree or wavelet tree, [boring, inversion count, ~=cf459-d2-d]</t>
        </is>
      </c>
      <c r="O857" s="488" t="n">
        <v>125</v>
      </c>
      <c r="P857" s="488" t="n">
        <v>5</v>
      </c>
      <c r="Q857" s="297" t="inlineStr">
        <is>
          <t>p1</t>
        </is>
      </c>
    </row>
    <row r="858" ht="15.75" customHeight="1" s="279">
      <c r="A858" s="420" t="inlineStr">
        <is>
          <t>Can you answer these queries III</t>
        </is>
      </c>
      <c r="B858" s="475">
        <f>HYPERLINK("http://www.spoj.com/problems/GSS3/","SPOJ GSS3")</f>
        <v/>
      </c>
      <c r="C858" s="418" t="n"/>
      <c r="D858" s="418" t="n"/>
      <c r="E858" s="418" t="n"/>
      <c r="F858" s="418" t="n"/>
      <c r="G858" s="418" t="n"/>
      <c r="H858" s="418" t="n"/>
      <c r="I858" s="404">
        <f>SUM(E858:H858)</f>
        <v/>
      </c>
      <c r="J858" s="418" t="n"/>
      <c r="K858" s="418" t="n"/>
      <c r="L858" s="418" t="n"/>
      <c r="M858" s="488" t="n"/>
      <c r="N858" s="488" t="inlineStr">
        <is>
          <t>segment tree, [max sum+updates, spoj gss1 first]</t>
        </is>
      </c>
      <c r="O858" s="488" t="n">
        <v>125</v>
      </c>
      <c r="P858" s="488" t="n">
        <v>5.5</v>
      </c>
      <c r="Q858" s="297" t="inlineStr">
        <is>
          <t>p5</t>
        </is>
      </c>
    </row>
    <row r="859" ht="15.75" customHeight="1" s="279">
      <c r="A859" s="420" t="inlineStr">
        <is>
          <t>Sum of Squares with Segment Tree</t>
        </is>
      </c>
      <c r="B859" s="475">
        <f>HYPERLINK("http://www.spoj.com/problems/SEGSQRSS","SPOJ SEGSQRSS")</f>
        <v/>
      </c>
      <c r="C859" s="418" t="n"/>
      <c r="D859" s="418" t="n"/>
      <c r="E859" s="418" t="n"/>
      <c r="F859" s="418" t="n"/>
      <c r="G859" s="418" t="n"/>
      <c r="H859" s="418" t="n"/>
      <c r="I859" s="404">
        <f>SUM(E859:H859)</f>
        <v/>
      </c>
      <c r="J859" s="404" t="n"/>
      <c r="K859" s="404" t="n"/>
      <c r="L859" s="512" t="n"/>
      <c r="M859" s="493">
        <f>HYPERLINK("https://github.com/MichaelMounir12/CompetitiveProgramming/blob/9c6e99fc3a2583209a313ddd617a07ac294024e9/SPOJ/SPOJ_SEGSQRSS.cpp","Sol")</f>
        <v/>
      </c>
      <c r="N859" s="488" t="inlineStr">
        <is>
          <t>segment tree, lazy propagation, impl, [weak testcases, sum of squares]</t>
        </is>
      </c>
      <c r="O859" s="488" t="n">
        <v>125</v>
      </c>
      <c r="P859" s="488" t="n">
        <v>5.5</v>
      </c>
      <c r="Q859" s="297" t="inlineStr">
        <is>
          <t>p4</t>
        </is>
      </c>
    </row>
    <row r="860" ht="15.75" customHeight="1" s="279">
      <c r="A860" s="420" t="n"/>
      <c r="B860" s="475">
        <f>HYPERLINK("http://codeforces.com/contest/380/problem/C","CF380-D1-C")</f>
        <v/>
      </c>
      <c r="C860" s="418" t="n"/>
      <c r="D860" s="418" t="n"/>
      <c r="E860" s="418" t="n"/>
      <c r="F860" s="418" t="n"/>
      <c r="G860" s="418" t="n"/>
      <c r="H860" s="418" t="n"/>
      <c r="I860" s="404">
        <f>SUM(E860:H860)</f>
        <v/>
      </c>
      <c r="J860" s="404" t="n"/>
      <c r="K860" s="404" t="n"/>
      <c r="L860" s="418" t="n"/>
      <c r="M860" s="420" t="n"/>
      <c r="N860" s="488" t="inlineStr">
        <is>
          <t>segment tree, [~=spoj gss5], [spoj gss1]</t>
        </is>
      </c>
      <c r="O860" s="488" t="n">
        <v>125</v>
      </c>
      <c r="P860" s="488" t="n">
        <v>5.5</v>
      </c>
      <c r="Q860" s="297" t="inlineStr">
        <is>
          <t>p3</t>
        </is>
      </c>
    </row>
    <row r="861" ht="15.75" customHeight="1" s="279">
      <c r="A861" s="420" t="inlineStr">
        <is>
          <t>Can you answer these queries IV</t>
        </is>
      </c>
      <c r="B861" s="475">
        <f>HYPERLINK("http://www.spoj.com/problems/GSS4","SPOJ GSS4")</f>
        <v/>
      </c>
      <c r="C861" s="418" t="n"/>
      <c r="D861" s="418" t="n"/>
      <c r="E861" s="418" t="n"/>
      <c r="F861" s="418" t="n"/>
      <c r="G861" s="418" t="n"/>
      <c r="H861" s="418" t="n"/>
      <c r="I861" s="404">
        <f>SUM(E861:H861)</f>
        <v/>
      </c>
      <c r="J861" s="404" t="n"/>
      <c r="K861" s="404" t="n"/>
      <c r="L861" s="512" t="n"/>
      <c r="M861" s="493">
        <f>HYPERLINK("https://github.com/abdullaAshraf/Problem-Solving/blob/master/SPOJ/GSS4.cpp","Sol")</f>
        <v/>
      </c>
      <c r="N861" s="488" t="inlineStr">
        <is>
          <t>segment tree or bit, [classical]</t>
        </is>
      </c>
      <c r="O861" s="488" t="n">
        <v>125</v>
      </c>
      <c r="P861" s="488" t="n">
        <v>5.5</v>
      </c>
      <c r="Q861" s="297" t="inlineStr">
        <is>
          <t>p2</t>
        </is>
      </c>
    </row>
    <row r="862" ht="15.75" customHeight="1" s="279">
      <c r="A862" s="420" t="inlineStr">
        <is>
          <t>SKYLINE</t>
        </is>
      </c>
      <c r="B862" s="475">
        <f>HYPERLINK("https://uva.onlinejudge.org/index.php?option=com_onlinejudge&amp;Itemid=8&amp;page=show_problem&amp;problem=3673","UVA 1232")</f>
        <v/>
      </c>
      <c r="C862" s="418" t="n"/>
      <c r="D862" s="418" t="n"/>
      <c r="E862" s="418" t="n"/>
      <c r="F862" s="418" t="n"/>
      <c r="G862" s="418" t="n"/>
      <c r="H862" s="418" t="n"/>
      <c r="I862" s="404">
        <f>SUM(E862:H862)</f>
        <v/>
      </c>
      <c r="J862" s="418" t="n"/>
      <c r="K862" s="418" t="n"/>
      <c r="L862" s="512" t="n"/>
      <c r="M862" s="493">
        <f>HYPERLINK("https://github.com/mostafa-saad/MyCompetitiveProgramming/blob/master/UVA/UVA_1232.txt","Sol")</f>
        <v/>
      </c>
      <c r="N862" s="488" t="inlineStr">
        <is>
          <t>segment tree, [skyline overlap, tle]</t>
        </is>
      </c>
      <c r="O862" s="488" t="n">
        <v>125</v>
      </c>
      <c r="P862" s="488" t="n">
        <v>5.5</v>
      </c>
    </row>
    <row r="863" ht="15.75" customHeight="1" s="279">
      <c r="A863" s="420" t="inlineStr">
        <is>
          <t>Ordering the Soldiers</t>
        </is>
      </c>
      <c r="B863" s="475">
        <f>HYPERLINK("http://www.spoj.com/problems/ORDERS/","SPOJ ORDERS")</f>
        <v/>
      </c>
      <c r="C863" s="418" t="n"/>
      <c r="D863" s="418" t="n"/>
      <c r="E863" s="418" t="n"/>
      <c r="F863" s="418" t="n"/>
      <c r="G863" s="418" t="n"/>
      <c r="H863" s="418" t="n"/>
      <c r="I863" s="404">
        <f>SUM(E863:H863)</f>
        <v/>
      </c>
      <c r="J863" s="418" t="n"/>
      <c r="K863" s="418" t="n"/>
      <c r="L863" s="512" t="n"/>
      <c r="M863" s="493">
        <f>HYPERLINK("https://github.com/mostafa-saad/MyCompetitiveProgramming/blob/master/SPOJ/SPOJ_ORDERS.txt","Sol")</f>
        <v/>
      </c>
      <c r="N863" s="488" t="inlineStr">
        <is>
          <t>segment tree, kth element or bit or bst or treap or datastructure</t>
        </is>
      </c>
      <c r="O863" s="488" t="n">
        <v>125</v>
      </c>
      <c r="P863" s="488" t="n">
        <v>5.75</v>
      </c>
      <c r="Q863" s="297" t="inlineStr">
        <is>
          <t>p3</t>
        </is>
      </c>
    </row>
    <row r="864" ht="15.75" customHeight="1" s="279">
      <c r="A864" s="420" t="n"/>
      <c r="B864" s="420" t="inlineStr">
        <is>
          <t>SPOJ IOPC1207</t>
        </is>
      </c>
      <c r="C864" s="418" t="n"/>
      <c r="D864" s="418" t="n"/>
      <c r="E864" s="418" t="n"/>
      <c r="F864" s="418" t="n"/>
      <c r="G864" s="418" t="n"/>
      <c r="H864" s="418" t="n"/>
      <c r="I864" s="404">
        <f>SUM(E864:H864)</f>
        <v/>
      </c>
      <c r="J864" s="418" t="n"/>
      <c r="K864" s="418" t="n"/>
      <c r="L864" s="418" t="n"/>
      <c r="M864" s="493">
        <f>HYPERLINK("https://github.com/mostafa-saad/MyCompetitiveProgramming/blob/master/SPOJ/SPOJ_IOPC1207.txt","Sol")</f>
        <v/>
      </c>
      <c r="N864" s="488" t="inlineStr">
        <is>
          <t>segment tree, lazy propagation, [handle dimensions independently]</t>
        </is>
      </c>
      <c r="O864" s="488" t="n">
        <v>125</v>
      </c>
      <c r="P864" s="488" t="n">
        <v>6</v>
      </c>
      <c r="Q864" s="297" t="inlineStr">
        <is>
          <t>p3</t>
        </is>
      </c>
    </row>
    <row r="865" ht="15.75" customHeight="1" s="279">
      <c r="A865" s="420" t="n"/>
      <c r="B865" s="420" t="inlineStr">
        <is>
          <t>SPOJ BRCKTS2</t>
        </is>
      </c>
      <c r="C865" s="418" t="n"/>
      <c r="D865" s="418" t="n"/>
      <c r="E865" s="418" t="n"/>
      <c r="F865" s="418" t="n"/>
      <c r="G865" s="418" t="n"/>
      <c r="H865" s="418" t="n"/>
      <c r="I865" s="404">
        <f>SUM(E865:H865)</f>
        <v/>
      </c>
      <c r="J865" s="404" t="n"/>
      <c r="K865" s="404" t="n"/>
      <c r="L865" s="418" t="n"/>
      <c r="M865" s="493">
        <f>HYPERLINK("https://github.com/MedoN11/CompetitiveProgramming/blob/master/SPOJ/BRCKTS2.cpp","Sol")</f>
        <v/>
      </c>
      <c r="N865" s="488" t="inlineStr">
        <is>
          <t>segment tree, prefix sums or adhoc, recursion</t>
        </is>
      </c>
      <c r="O865" s="488" t="n">
        <v>125</v>
      </c>
      <c r="P865" s="488" t="n">
        <v>6</v>
      </c>
      <c r="Q865" s="297" t="inlineStr">
        <is>
          <t>p3</t>
        </is>
      </c>
    </row>
    <row r="866" ht="15.75" customHeight="1" s="279">
      <c r="A866" s="420" t="inlineStr">
        <is>
          <t>Bookworm</t>
        </is>
      </c>
      <c r="B866" s="420" t="inlineStr">
        <is>
          <t>TIMUS 1638</t>
        </is>
      </c>
      <c r="C866" s="418" t="n"/>
      <c r="D866" s="418" t="n"/>
      <c r="E866" s="418" t="n"/>
      <c r="F866" s="418" t="n"/>
      <c r="G866" s="418" t="n"/>
      <c r="H866" s="418" t="n"/>
      <c r="I866" s="404">
        <f>SUM(E866:H866)</f>
        <v/>
      </c>
      <c r="J866" s="404" t="n"/>
      <c r="K866" s="404" t="n"/>
      <c r="L866" s="418" t="n"/>
      <c r="M866" s="475">
        <f>HYPERLINK("http://xoptutorials.com/index.php/2017/01/01/timus1638/","Can you get AC first submission")</f>
        <v/>
      </c>
      <c r="N866" s="488" t="inlineStr">
        <is>
          <t>simulation, formula, [was, tricky]</t>
        </is>
      </c>
      <c r="O866" s="488" t="n">
        <v>126</v>
      </c>
      <c r="P866" s="488" t="n">
        <v>2</v>
      </c>
      <c r="Q866" s="297" t="inlineStr">
        <is>
          <t>p2</t>
        </is>
      </c>
    </row>
    <row r="867" ht="15.75" customHeight="1" s="279">
      <c r="A867" s="420" t="inlineStr">
        <is>
          <t>Taxi</t>
        </is>
      </c>
      <c r="B867" s="475">
        <f>HYPERLINK("http://acm.timus.ru/problem.aspx?space=1&amp;num=1607","TIMUS 1607")</f>
        <v/>
      </c>
      <c r="C867" s="418" t="n"/>
      <c r="D867" s="418" t="n"/>
      <c r="E867" s="418" t="n"/>
      <c r="F867" s="418" t="n"/>
      <c r="G867" s="418" t="n"/>
      <c r="H867" s="418" t="n"/>
      <c r="I867" s="404">
        <f>SUM(E867:H867)</f>
        <v/>
      </c>
      <c r="J867" s="404" t="n"/>
      <c r="K867" s="404" t="n"/>
      <c r="L867" s="404" t="n"/>
      <c r="M867" s="422">
        <f>HYPERLINK("http://xoptutorials.com/index.php/2017/01/01/timus1607/","Can you get AC first submission?")</f>
        <v/>
      </c>
      <c r="N867" s="488" t="inlineStr">
        <is>
          <t>simulation, tricky</t>
        </is>
      </c>
      <c r="O867" s="488" t="n">
        <v>126</v>
      </c>
      <c r="P867" s="488" t="n">
        <v>2</v>
      </c>
      <c r="Q867" s="297" t="inlineStr">
        <is>
          <t>p1</t>
        </is>
      </c>
    </row>
    <row r="868" ht="15.75" customHeight="1" s="279">
      <c r="A868" s="420" t="inlineStr">
        <is>
          <t>The Blocks Problem</t>
        </is>
      </c>
      <c r="B868" s="475">
        <f>HYPERLINK("https://uva.onlinejudge.org/index.php?option=com_onlinejudge&amp;Itemid=8&amp;page=show_problem&amp;problem=37","UVA 101")</f>
        <v/>
      </c>
      <c r="C868" s="418" t="n"/>
      <c r="D868" s="418" t="n"/>
      <c r="E868" s="418" t="n"/>
      <c r="F868" s="418" t="n"/>
      <c r="G868" s="418" t="n"/>
      <c r="H868" s="418" t="n"/>
      <c r="I868" s="404">
        <f>SUM(E868:H868)</f>
        <v/>
      </c>
      <c r="J868" s="404" t="n"/>
      <c r="K868" s="404" t="n"/>
      <c r="L868" s="418" t="n"/>
      <c r="M868" s="485" t="inlineStr">
        <is>
          <t>Sol</t>
        </is>
      </c>
      <c r="N868" s="488" t="inlineStr">
        <is>
          <t>simulation</t>
        </is>
      </c>
      <c r="O868" s="488" t="n">
        <v>126</v>
      </c>
      <c r="P868" s="488" t="n">
        <v>3</v>
      </c>
    </row>
    <row r="869" ht="15.75" customHeight="1" s="279">
      <c r="A869" s="420" t="inlineStr">
        <is>
          <t>Oulipo</t>
        </is>
      </c>
      <c r="B869" s="475">
        <f>HYPERLINK("http://poj.org/problem?id=3461","PKU 3461")</f>
        <v/>
      </c>
      <c r="C869" s="418" t="n"/>
      <c r="D869" s="418" t="n"/>
      <c r="E869" s="418" t="n"/>
      <c r="F869" s="418" t="n"/>
      <c r="G869" s="418" t="n"/>
      <c r="H869" s="418" t="n"/>
      <c r="I869" s="404">
        <f>SUM(E869:H869)</f>
        <v/>
      </c>
      <c r="J869" s="404" t="n"/>
      <c r="K869" s="404" t="n"/>
      <c r="L869" s="418" t="n"/>
      <c r="M869" s="420" t="n"/>
      <c r="N869" s="488" t="inlineStr">
        <is>
          <t>string processing, kmp, [count word frequency]</t>
        </is>
      </c>
      <c r="O869" s="488" t="n">
        <v>130</v>
      </c>
      <c r="P869" s="488" t="n">
        <v>2</v>
      </c>
    </row>
    <row r="870" ht="15.75" customHeight="1" s="279">
      <c r="A870" s="420" t="inlineStr">
        <is>
          <t>A Needle in the Haystack</t>
        </is>
      </c>
      <c r="B870" s="475">
        <f>HYPERLINK("http://www.spoj.com/problems/NHAY","SPOJ NHAY")</f>
        <v/>
      </c>
      <c r="C870" s="418" t="n"/>
      <c r="D870" s="418" t="n"/>
      <c r="E870" s="418" t="n"/>
      <c r="F870" s="418" t="n"/>
      <c r="G870" s="418" t="n"/>
      <c r="H870" s="418" t="n"/>
      <c r="I870" s="404">
        <f>SUM(E870:H870)</f>
        <v/>
      </c>
      <c r="J870" s="404" t="n"/>
      <c r="K870" s="404" t="n"/>
      <c r="L870" s="418" t="n"/>
      <c r="M870" s="420" t="n"/>
      <c r="N870" s="488" t="inlineStr">
        <is>
          <t>string processing, kmp, [find words positions]</t>
        </is>
      </c>
      <c r="O870" s="488" t="n">
        <v>130</v>
      </c>
      <c r="P870" s="488" t="n">
        <v>3</v>
      </c>
    </row>
    <row r="871" ht="15.75" customHeight="1" s="279">
      <c r="A871" s="420" t="inlineStr">
        <is>
          <t>Finding the Tesserect</t>
        </is>
      </c>
      <c r="B871" s="475">
        <f>HYPERLINK("http://www.spoj.com/problems/TESSER/","SPOJ TESSER")</f>
        <v/>
      </c>
      <c r="C871" s="418" t="n"/>
      <c r="D871" s="418" t="n"/>
      <c r="E871" s="418" t="n"/>
      <c r="F871" s="418" t="n"/>
      <c r="G871" s="418" t="n"/>
      <c r="H871" s="418" t="n"/>
      <c r="I871" s="404">
        <f>SUM(E871:H871)</f>
        <v/>
      </c>
      <c r="J871" s="404" t="n"/>
      <c r="K871" s="404" t="n"/>
      <c r="L871" s="418" t="n"/>
      <c r="M871" s="420" t="n"/>
      <c r="N871" s="488" t="inlineStr">
        <is>
          <t>string processing, kmp</t>
        </is>
      </c>
      <c r="O871" s="488" t="n">
        <v>130</v>
      </c>
      <c r="P871" s="488" t="n">
        <v>4</v>
      </c>
      <c r="Q871" s="297" t="inlineStr">
        <is>
          <t>p4</t>
        </is>
      </c>
    </row>
    <row r="872" ht="15.75" customHeight="1" s="279">
      <c r="A872" s="420" t="inlineStr">
        <is>
          <t>Period</t>
        </is>
      </c>
      <c r="B872" s="475">
        <f>HYPERLINK("http://www.spoj.com/problems/PERIOD/","SPOJ PERIOD")</f>
        <v/>
      </c>
      <c r="C872" s="418" t="n"/>
      <c r="D872" s="418" t="n"/>
      <c r="E872" s="418" t="n"/>
      <c r="F872" s="418" t="n"/>
      <c r="G872" s="418" t="n"/>
      <c r="H872" s="418" t="n"/>
      <c r="I872" s="404">
        <f>SUM(E872:H872)</f>
        <v/>
      </c>
      <c r="J872" s="404" t="n"/>
      <c r="K872" s="404" t="n"/>
      <c r="L872" s="512" t="n"/>
      <c r="M872" s="420" t="n"/>
      <c r="N872" s="488" t="inlineStr">
        <is>
          <t>string processing, kmp, period max or suffix array</t>
        </is>
      </c>
      <c r="O872" s="488" t="n">
        <v>130</v>
      </c>
      <c r="P872" s="488" t="n">
        <v>4.5</v>
      </c>
      <c r="Q872" s="297" t="inlineStr">
        <is>
          <t>p3</t>
        </is>
      </c>
    </row>
    <row r="873" ht="15.75" customHeight="1" s="279">
      <c r="A873" s="420" t="inlineStr">
        <is>
          <t>Prefixes and Suffixes</t>
        </is>
      </c>
      <c r="B873" s="475">
        <f>HYPERLINK("http://codeforces.com/contest/432/problem/D","CF432-D2-D")</f>
        <v/>
      </c>
      <c r="C873" s="418" t="n"/>
      <c r="D873" s="418" t="n"/>
      <c r="E873" s="418" t="n"/>
      <c r="F873" s="418" t="n"/>
      <c r="G873" s="418" t="n"/>
      <c r="H873" s="418" t="n"/>
      <c r="I873" s="404">
        <f>SUM(E873:H873)</f>
        <v/>
      </c>
      <c r="J873" s="404" t="n"/>
      <c r="K873" s="404" t="n"/>
      <c r="L873" s="418" t="n"/>
      <c r="M873" s="420" t="n"/>
      <c r="N873" s="488" t="inlineStr">
        <is>
          <t>string processing, kmp or z-function</t>
        </is>
      </c>
      <c r="O873" s="488" t="n">
        <v>130</v>
      </c>
      <c r="P873" s="488" t="n">
        <v>5</v>
      </c>
      <c r="Q873" s="297" t="inlineStr">
        <is>
          <t>p3</t>
        </is>
      </c>
    </row>
    <row r="874" ht="15.75" customHeight="1" s="279">
      <c r="A874" s="420" t="inlineStr">
        <is>
          <t>Tavas and Malekas</t>
        </is>
      </c>
      <c r="B874" s="475">
        <f>HYPERLINK("http://codeforces.com/contest/535/problem/D","CF535-D2-D")</f>
        <v/>
      </c>
      <c r="C874" s="418" t="n"/>
      <c r="D874" s="418" t="n"/>
      <c r="E874" s="418" t="n"/>
      <c r="F874" s="418" t="n"/>
      <c r="G874" s="418" t="n"/>
      <c r="H874" s="418" t="n"/>
      <c r="I874" s="404">
        <f>SUM(E874:H874)</f>
        <v/>
      </c>
      <c r="J874" s="404" t="n"/>
      <c r="K874" s="404" t="n"/>
      <c r="L874" s="418" t="n"/>
      <c r="M874" s="420" t="n"/>
      <c r="N874" s="488" t="inlineStr">
        <is>
          <t>string processing, kmp or z-function, [~cf127-d2-d]</t>
        </is>
      </c>
      <c r="O874" s="488" t="n">
        <v>130</v>
      </c>
      <c r="P874" s="488" t="n">
        <v>5</v>
      </c>
      <c r="Q874" s="297" t="inlineStr">
        <is>
          <t>p3</t>
        </is>
      </c>
    </row>
    <row r="875" ht="15.75" customHeight="1" s="279">
      <c r="A875" s="420" t="n"/>
      <c r="B875" s="475">
        <f>HYPERLINK("https://codeforces.com/contest/1147/problem/B" , "CF1147-D1-B")</f>
        <v/>
      </c>
      <c r="C875" s="418" t="n"/>
      <c r="D875" s="418" t="n"/>
      <c r="E875" s="418" t="n"/>
      <c r="F875" s="418" t="n"/>
      <c r="G875" s="418" t="n"/>
      <c r="H875" s="418" t="n"/>
      <c r="I875" s="404">
        <f>SUM(E875:H875)</f>
        <v/>
      </c>
      <c r="J875" s="418" t="n"/>
      <c r="K875" s="418" t="n"/>
      <c r="L875" s="418" t="n"/>
      <c r="M875" s="420" t="n"/>
      <c r="N875" s="488" t="inlineStr">
        <is>
          <t>string processing, kmp</t>
        </is>
      </c>
      <c r="O875" s="488" t="n">
        <v>130</v>
      </c>
      <c r="P875" s="488" t="n">
        <v>5.25</v>
      </c>
      <c r="Q875" s="297" t="inlineStr">
        <is>
          <t>p2</t>
        </is>
      </c>
    </row>
    <row r="876" ht="15.75" customHeight="1" s="279">
      <c r="A876" s="420" t="inlineStr">
        <is>
          <t>Messenger</t>
        </is>
      </c>
      <c r="B876" s="475">
        <f>HYPERLINK("http://codeforces.com/contest/631/problem/D","CF631-D2-D")</f>
        <v/>
      </c>
      <c r="C876" s="418" t="n"/>
      <c r="D876" s="418" t="n"/>
      <c r="E876" s="418" t="n"/>
      <c r="F876" s="418" t="n"/>
      <c r="G876" s="418" t="n"/>
      <c r="H876" s="418" t="n"/>
      <c r="I876" s="404">
        <f>SUM(E876:H876)</f>
        <v/>
      </c>
      <c r="J876" s="418" t="n"/>
      <c r="K876" s="418" t="n"/>
      <c r="L876" s="418" t="n"/>
      <c r="M876" s="420" t="n"/>
      <c r="N876" s="488" t="inlineStr">
        <is>
          <t>string processing, kmp</t>
        </is>
      </c>
      <c r="O876" s="488" t="n">
        <v>130</v>
      </c>
      <c r="P876" s="488" t="n">
        <v>5.5</v>
      </c>
      <c r="Q876" s="297" t="inlineStr">
        <is>
          <t>p3</t>
        </is>
      </c>
    </row>
    <row r="877" ht="15.75" customHeight="1" s="279">
      <c r="A877" s="420" t="n"/>
      <c r="B877" s="475">
        <f>HYPERLINK("https://codeforces.com/contest/1138/problem/D","CF1138-D2-D")</f>
        <v/>
      </c>
      <c r="C877" s="418" t="n"/>
      <c r="D877" s="418" t="n"/>
      <c r="E877" s="418" t="n"/>
      <c r="F877" s="418" t="n"/>
      <c r="G877" s="418" t="n"/>
      <c r="H877" s="418" t="n"/>
      <c r="I877" s="404">
        <f>SUM(E877:H877)</f>
        <v/>
      </c>
      <c r="J877" s="418" t="n"/>
      <c r="K877" s="418" t="n"/>
      <c r="L877" s="418" t="n"/>
      <c r="M877" s="420" t="n"/>
      <c r="N877" s="488" t="inlineStr">
        <is>
          <t>string processing, kmp</t>
        </is>
      </c>
      <c r="O877" s="488" t="n">
        <v>130</v>
      </c>
      <c r="P877" s="488" t="n">
        <v>5.5</v>
      </c>
      <c r="Q877" s="297" t="inlineStr">
        <is>
          <t>p2</t>
        </is>
      </c>
    </row>
    <row r="878" ht="15.75" customHeight="1" s="279">
      <c r="A878" s="420" t="n"/>
      <c r="B878" s="475">
        <f>HYPERLINK("https://www.facebook.com/hackercup/problem/1153996538071503/", "FbHkrCup 18-RQ-C")</f>
        <v/>
      </c>
      <c r="C878" s="418" t="n"/>
      <c r="D878" s="418" t="n"/>
      <c r="E878" s="418" t="n"/>
      <c r="F878" s="418" t="n"/>
      <c r="G878" s="418" t="n"/>
      <c r="H878" s="418" t="n"/>
      <c r="I878" s="404">
        <f>SUM(E878:H878)</f>
        <v/>
      </c>
      <c r="J878" s="418" t="n"/>
      <c r="K878" s="418" t="n"/>
      <c r="L878" s="418" t="n"/>
      <c r="M878" s="420" t="n"/>
      <c r="N878" s="488" t="inlineStr">
        <is>
          <t>string processing, kmp</t>
        </is>
      </c>
      <c r="O878" s="488" t="n">
        <v>130</v>
      </c>
      <c r="P878" s="488" t="n">
        <v>5.5</v>
      </c>
      <c r="Q878" s="297" t="inlineStr">
        <is>
          <t>p1</t>
        </is>
      </c>
    </row>
    <row r="879" ht="15.75" customHeight="1" s="279">
      <c r="A879" s="420" t="n"/>
      <c r="B879" s="420" t="inlineStr">
        <is>
          <t>UVA 11475</t>
        </is>
      </c>
      <c r="C879" s="418" t="n"/>
      <c r="D879" s="418" t="n"/>
      <c r="E879" s="418" t="n"/>
      <c r="F879" s="418" t="n"/>
      <c r="G879" s="418" t="n"/>
      <c r="H879" s="418" t="n"/>
      <c r="I879" s="404">
        <f>SUM(E879:H879)</f>
        <v/>
      </c>
      <c r="J879" s="418" t="n"/>
      <c r="K879" s="418" t="n"/>
      <c r="L879" s="418" t="n"/>
      <c r="M879" s="475">
        <f>HYPERLINK("https://github.com/Huvok/CompetitiveProgramming/blob/master/UVA/11475.cpp", "Sol")</f>
        <v/>
      </c>
      <c r="N879" s="488" t="inlineStr">
        <is>
          <t>string processing, kmp</t>
        </is>
      </c>
      <c r="O879" s="488" t="n">
        <v>130</v>
      </c>
      <c r="P879" s="488" t="n">
        <v>5.5</v>
      </c>
      <c r="Q879" s="304" t="n"/>
    </row>
    <row r="880" ht="15.75" customHeight="1" s="279">
      <c r="A880" s="420" t="inlineStr">
        <is>
          <t>Phone List</t>
        </is>
      </c>
      <c r="B880" s="475">
        <f>HYPERLINK("http://www.spoj.com/problems/PHONELST/","SPOJ PHONELST")</f>
        <v/>
      </c>
      <c r="C880" s="418" t="n"/>
      <c r="D880" s="418" t="n"/>
      <c r="E880" s="418" t="n"/>
      <c r="F880" s="418" t="n"/>
      <c r="G880" s="418" t="n"/>
      <c r="H880" s="418" t="n"/>
      <c r="I880" s="404">
        <f>SUM(E880:H880)</f>
        <v/>
      </c>
      <c r="J880" s="418" t="n"/>
      <c r="K880" s="418" t="n"/>
      <c r="L880" s="418" t="n"/>
      <c r="M880" s="420" t="n"/>
      <c r="N880" s="488" t="inlineStr">
        <is>
          <t>string processing, trie</t>
        </is>
      </c>
      <c r="O880" s="488" t="n">
        <v>135</v>
      </c>
      <c r="P880" s="488" t="n">
        <v>3.5</v>
      </c>
    </row>
    <row r="881" ht="15.75" customHeight="1" s="279">
      <c r="A881" s="420" t="inlineStr">
        <is>
          <t>Cellphone Typing</t>
        </is>
      </c>
      <c r="B881" s="475">
        <f>HYPERLINK("https://uva.onlinejudge.org/index.php?option=com_onlinejudge&amp;Itemid=8&amp;page=show_problem&amp;problem=3971","UVA 12526")</f>
        <v/>
      </c>
      <c r="C881" s="418" t="n"/>
      <c r="D881" s="418" t="n"/>
      <c r="E881" s="418" t="n"/>
      <c r="F881" s="418" t="n"/>
      <c r="G881" s="418" t="n"/>
      <c r="H881" s="418" t="n"/>
      <c r="I881" s="404">
        <f>SUM(E881:H881)</f>
        <v/>
      </c>
      <c r="J881" s="418" t="n"/>
      <c r="K881" s="418" t="n"/>
      <c r="L881" s="418" t="n"/>
      <c r="M881" s="420" t="n"/>
      <c r="N881" s="488" t="inlineStr">
        <is>
          <t>string processing, trie</t>
        </is>
      </c>
      <c r="O881" s="488" t="n">
        <v>135</v>
      </c>
      <c r="P881" s="488" t="n">
        <v>4.5</v>
      </c>
      <c r="Q881" s="297" t="inlineStr">
        <is>
          <t>p3</t>
        </is>
      </c>
    </row>
    <row r="882" ht="15.75" customHeight="1" s="279">
      <c r="A882" s="420" t="inlineStr">
        <is>
          <t>Disk Tree</t>
        </is>
      </c>
      <c r="B882" s="475">
        <f>HYPERLINK("https://uva.onlinejudge.org/index.php?option=com_onlinejudge&amp;Itemid=8&amp;page=show_problem&amp;problem=4331","UVA 1556")</f>
        <v/>
      </c>
      <c r="C882" s="418" t="n"/>
      <c r="D882" s="418" t="n"/>
      <c r="E882" s="418" t="n"/>
      <c r="F882" s="418" t="n"/>
      <c r="G882" s="418" t="n"/>
      <c r="H882" s="418" t="n"/>
      <c r="I882" s="404">
        <f>SUM(E882:H882)</f>
        <v/>
      </c>
      <c r="J882" s="418" t="n"/>
      <c r="K882" s="418" t="n"/>
      <c r="L882" s="418" t="n"/>
      <c r="M882" s="420" t="n"/>
      <c r="N882" s="488" t="inlineStr">
        <is>
          <t>string processing, trie, trie using map, pretty print trie, fast cin</t>
        </is>
      </c>
      <c r="O882" s="488" t="n">
        <v>135</v>
      </c>
      <c r="P882" s="488" t="n">
        <v>4.5</v>
      </c>
      <c r="Q882" s="297" t="inlineStr">
        <is>
          <t>p3</t>
        </is>
      </c>
    </row>
    <row r="883" ht="15.75" customHeight="1" s="279">
      <c r="A883" s="420" t="inlineStr">
        <is>
          <t>Search in the dictionary!</t>
        </is>
      </c>
      <c r="B883" s="475">
        <f>HYPERLINK("http://www.spoj.com/problems/DICT/","SPOJ DICT")</f>
        <v/>
      </c>
      <c r="C883" s="418" t="n"/>
      <c r="D883" s="418" t="n"/>
      <c r="E883" s="418" t="n"/>
      <c r="F883" s="418" t="n"/>
      <c r="G883" s="418" t="n"/>
      <c r="H883" s="418" t="n"/>
      <c r="I883" s="404">
        <f>SUM(E883:H883)</f>
        <v/>
      </c>
      <c r="J883" s="418" t="n"/>
      <c r="K883" s="418" t="n"/>
      <c r="L883" s="418" t="n"/>
      <c r="M883" s="420" t="n"/>
      <c r="N883" s="488" t="inlineStr">
        <is>
          <t>string processing, trie</t>
        </is>
      </c>
      <c r="O883" s="488" t="n">
        <v>135</v>
      </c>
      <c r="P883" s="488" t="n">
        <v>4.5</v>
      </c>
      <c r="Q883" s="297" t="inlineStr">
        <is>
          <t>p2</t>
        </is>
      </c>
    </row>
    <row r="884" ht="15.75" customHeight="1" s="279">
      <c r="A884" s="420" t="inlineStr">
        <is>
          <t>Vasiliy's Multiset</t>
        </is>
      </c>
      <c r="B884" s="475">
        <f>HYPERLINK("http://codeforces.com/contest/706/problem/D","CF706-D2-D")</f>
        <v/>
      </c>
      <c r="C884" s="418" t="n"/>
      <c r="D884" s="418" t="n"/>
      <c r="E884" s="418" t="n"/>
      <c r="F884" s="418" t="n"/>
      <c r="G884" s="418" t="n"/>
      <c r="H884" s="418" t="n"/>
      <c r="I884" s="404">
        <f>SUM(E884:H884)</f>
        <v/>
      </c>
      <c r="J884" s="418" t="n"/>
      <c r="K884" s="418" t="n"/>
      <c r="L884" s="418" t="n"/>
      <c r="M884" s="420" t="n"/>
      <c r="N884" s="488" t="inlineStr">
        <is>
          <t>string processing, trie</t>
        </is>
      </c>
      <c r="O884" s="488" t="n">
        <v>135</v>
      </c>
      <c r="P884" s="488" t="n">
        <v>5</v>
      </c>
      <c r="Q884" s="297" t="inlineStr">
        <is>
          <t>p2</t>
        </is>
      </c>
    </row>
    <row r="885" ht="15.75" customHeight="1" s="279">
      <c r="A885" s="420" t="n"/>
      <c r="B885" s="420" t="inlineStr">
        <is>
          <t>LiveArchive 8015</t>
        </is>
      </c>
      <c r="C885" s="418" t="n"/>
      <c r="D885" s="418" t="n"/>
      <c r="E885" s="418" t="n"/>
      <c r="F885" s="418" t="n"/>
      <c r="G885" s="418" t="n"/>
      <c r="H885" s="418" t="n"/>
      <c r="I885" s="404">
        <f>SUM(E885:H885)</f>
        <v/>
      </c>
      <c r="J885" s="418" t="n"/>
      <c r="K885" s="418" t="n"/>
      <c r="L885" s="418" t="n"/>
      <c r="M885" s="493">
        <f>HYPERLINK("https://github.com/ahmed-osama-iv/CompetitiveProgramming/blob/master/LiveArchive/8015.cpp","Sol")</f>
        <v/>
      </c>
      <c r="N885" s="488" t="inlineStr">
        <is>
          <t>string processing, trie</t>
        </is>
      </c>
      <c r="O885" s="488" t="n">
        <v>135</v>
      </c>
      <c r="P885" s="488" t="n">
        <v>5.25</v>
      </c>
      <c r="Q885" s="297" t="inlineStr">
        <is>
          <t>p4</t>
        </is>
      </c>
    </row>
    <row r="886" ht="15.75" customHeight="1" s="279">
      <c r="A886" s="420" t="n"/>
      <c r="B886" s="475">
        <f>HYPERLINK("http://codeforces.com/contest/842/problem/D","CF842-D2-D")</f>
        <v/>
      </c>
      <c r="C886" s="418" t="n"/>
      <c r="D886" s="418" t="n"/>
      <c r="E886" s="418" t="n"/>
      <c r="F886" s="418" t="n"/>
      <c r="G886" s="418" t="n"/>
      <c r="H886" s="418" t="n"/>
      <c r="I886" s="404">
        <f>SUM(E886:H886)</f>
        <v/>
      </c>
      <c r="J886" s="418" t="n"/>
      <c r="K886" s="418" t="n"/>
      <c r="L886" s="418" t="n"/>
      <c r="M886" s="488" t="n"/>
      <c r="N886" s="488" t="inlineStr">
        <is>
          <t>string processing, trie, [xor]</t>
        </is>
      </c>
      <c r="O886" s="488" t="n">
        <v>135</v>
      </c>
      <c r="P886" s="488" t="n">
        <v>5.5</v>
      </c>
      <c r="Q886" s="297" t="inlineStr">
        <is>
          <t>p3</t>
        </is>
      </c>
    </row>
    <row r="887" ht="15.75" customHeight="1" s="279">
      <c r="A887" s="420" t="n"/>
      <c r="B887" s="475">
        <f>HYPERLINK("https://codeforces.com/contest/665/problem/E","CF665-D12-E")</f>
        <v/>
      </c>
      <c r="C887" s="418" t="n"/>
      <c r="D887" s="418" t="n"/>
      <c r="E887" s="418" t="n"/>
      <c r="F887" s="418" t="n"/>
      <c r="G887" s="418" t="n"/>
      <c r="H887" s="418" t="n"/>
      <c r="I887" s="404">
        <f>SUM(E887:H887)</f>
        <v/>
      </c>
      <c r="J887" s="418" t="n"/>
      <c r="K887" s="418" t="n"/>
      <c r="L887" s="418" t="n"/>
      <c r="M887" s="488" t="n"/>
      <c r="N887" s="488" t="inlineStr">
        <is>
          <t>string processing, trie</t>
        </is>
      </c>
      <c r="O887" s="488" t="n">
        <v>135</v>
      </c>
      <c r="P887" s="488" t="n">
        <v>5.5</v>
      </c>
      <c r="Q887" s="297" t="inlineStr">
        <is>
          <t>p3</t>
        </is>
      </c>
    </row>
    <row r="888" ht="15.75" customHeight="1" s="279">
      <c r="A888" s="420" t="n"/>
      <c r="B888" s="420" t="inlineStr">
        <is>
          <t>LiveArchive 4682</t>
        </is>
      </c>
      <c r="C888" s="418" t="n"/>
      <c r="D888" s="418" t="n"/>
      <c r="E888" s="418" t="n"/>
      <c r="F888" s="418" t="n"/>
      <c r="G888" s="418" t="n"/>
      <c r="H888" s="418" t="n"/>
      <c r="I888" s="404">
        <f>SUM(E888:H888)</f>
        <v/>
      </c>
      <c r="J888" s="418" t="n"/>
      <c r="K888" s="418" t="n"/>
      <c r="L888" s="418" t="n"/>
      <c r="M888" s="493">
        <f>HYPERLINK("https://github.com/HosamEissa/Competitive-programming-/blob/master/ACM-ICPC%20Live%20Archive/4682.cpp","Sol")</f>
        <v/>
      </c>
      <c r="N888" s="488" t="inlineStr">
        <is>
          <t>string processing, trie</t>
        </is>
      </c>
      <c r="O888" s="488" t="n">
        <v>135</v>
      </c>
      <c r="P888" s="488" t="n">
        <v>5.5</v>
      </c>
      <c r="Q888" s="304" t="n"/>
    </row>
    <row r="889" ht="15.75" customHeight="1" s="279">
      <c r="A889" s="420" t="n"/>
      <c r="B889" s="475">
        <f>HYPERLINK("http://codeforces.com/contest/455/problem/B","CF455-D1-B")</f>
        <v/>
      </c>
      <c r="C889" s="418" t="n"/>
      <c r="D889" s="418" t="n"/>
      <c r="E889" s="418" t="n"/>
      <c r="F889" s="418" t="n"/>
      <c r="G889" s="418" t="n"/>
      <c r="H889" s="418" t="n"/>
      <c r="I889" s="404">
        <f>SUM(E889:H889)</f>
        <v/>
      </c>
      <c r="J889" s="418" t="n"/>
      <c r="K889" s="418" t="n"/>
      <c r="L889" s="418" t="n"/>
      <c r="M889" s="488" t="n"/>
      <c r="N889" s="488" t="inlineStr">
        <is>
          <t>string processing, trie</t>
        </is>
      </c>
      <c r="O889" s="488" t="n">
        <v>135</v>
      </c>
      <c r="P889" s="488" t="n">
        <v>5.5</v>
      </c>
      <c r="Q889" s="304" t="n"/>
    </row>
    <row r="890" ht="15.75" customHeight="1" s="279">
      <c r="A890" s="420" t="inlineStr">
        <is>
          <t>Spider's Web</t>
        </is>
      </c>
      <c r="B890" s="475">
        <f>HYPERLINK("http://codeforces.com/contest/216/problem/D","CF216-D2-D")</f>
        <v/>
      </c>
      <c r="C890" s="418" t="n"/>
      <c r="D890" s="418" t="n"/>
      <c r="E890" s="418" t="n"/>
      <c r="F890" s="418" t="n"/>
      <c r="G890" s="418" t="n"/>
      <c r="H890" s="418" t="n"/>
      <c r="I890" s="404">
        <f>SUM(E890:H890)</f>
        <v/>
      </c>
      <c r="J890" s="418" t="n"/>
      <c r="K890" s="418" t="n"/>
      <c r="L890" s="418" t="n"/>
      <c r="M890" s="420" t="n"/>
      <c r="N890" s="488" t="inlineStr">
        <is>
          <t>two pointers or adhoc</t>
        </is>
      </c>
      <c r="O890" s="488" t="n">
        <v>138</v>
      </c>
      <c r="P890" s="488" t="n">
        <v>3</v>
      </c>
    </row>
    <row r="891" ht="15.75" customHeight="1" s="279">
      <c r="A891" s="420" t="inlineStr">
        <is>
          <t>Points on Line</t>
        </is>
      </c>
      <c r="B891" s="475">
        <f>HYPERLINK("http://codeforces.com/contest/252/problem/C","CF252-D2-C")</f>
        <v/>
      </c>
      <c r="C891" s="418" t="n"/>
      <c r="D891" s="418" t="n"/>
      <c r="E891" s="418" t="n"/>
      <c r="F891" s="418" t="n"/>
      <c r="G891" s="418" t="n"/>
      <c r="H891" s="418" t="n"/>
      <c r="I891" s="404">
        <f>SUM(E891:H891)</f>
        <v/>
      </c>
      <c r="J891" s="404" t="n"/>
      <c r="K891" s="404" t="n"/>
      <c r="L891" s="418" t="n"/>
      <c r="M891" s="420" t="n"/>
      <c r="N891" s="488" t="inlineStr">
        <is>
          <t>two pointers or binary search, combinatorics</t>
        </is>
      </c>
      <c r="O891" s="488" t="n">
        <v>138</v>
      </c>
      <c r="P891" s="488" t="n">
        <v>4</v>
      </c>
      <c r="Q891" s="297" t="inlineStr">
        <is>
          <t>p2</t>
        </is>
      </c>
    </row>
    <row r="892" ht="15.75" customHeight="1" s="279">
      <c r="A892" s="420" t="inlineStr">
        <is>
          <t>Hometask</t>
        </is>
      </c>
      <c r="B892" s="475">
        <f>HYPERLINK("http://codeforces.com/contest/155/problem/C","CF155-D2-C")</f>
        <v/>
      </c>
      <c r="C892" s="418" t="n"/>
      <c r="D892" s="418" t="n"/>
      <c r="E892" s="418" t="n"/>
      <c r="F892" s="418" t="n"/>
      <c r="G892" s="418" t="n"/>
      <c r="H892" s="418" t="n"/>
      <c r="I892" s="404">
        <f>SUM(E892:H892)</f>
        <v/>
      </c>
      <c r="J892" s="418" t="n"/>
      <c r="K892" s="418" t="n"/>
      <c r="L892" s="418" t="n"/>
      <c r="M892" s="420" t="n"/>
      <c r="N892" s="488" t="inlineStr">
        <is>
          <t>two pointers or dp</t>
        </is>
      </c>
      <c r="O892" s="488" t="n">
        <v>138</v>
      </c>
      <c r="P892" s="488" t="n">
        <v>4.5</v>
      </c>
    </row>
    <row r="893" ht="15.75" customHeight="1" s="279">
      <c r="A893" s="420" t="n"/>
      <c r="B893" s="475">
        <f>HYPERLINK("http://codeforces.com/contest/1043/problem/D","CF1043-D12-D")</f>
        <v/>
      </c>
      <c r="C893" s="418" t="n"/>
      <c r="D893" s="418" t="n"/>
      <c r="E893" s="418" t="n"/>
      <c r="F893" s="418" t="n"/>
      <c r="G893" s="418" t="n"/>
      <c r="H893" s="418" t="n"/>
      <c r="I893" s="404">
        <f>SUM(E893:H893)</f>
        <v/>
      </c>
      <c r="J893" s="404" t="n"/>
      <c r="K893" s="404" t="n"/>
      <c r="L893" s="418" t="n"/>
      <c r="M893" s="488" t="n"/>
      <c r="N893" s="488" t="inlineStr">
        <is>
          <t>two pointers, [different solutions]</t>
        </is>
      </c>
      <c r="O893" s="488" t="n">
        <v>138</v>
      </c>
      <c r="P893" s="488" t="n">
        <v>5</v>
      </c>
      <c r="Q893" s="297" t="inlineStr">
        <is>
          <t>p3</t>
        </is>
      </c>
    </row>
    <row r="894" ht="15.75" customHeight="1" s="279">
      <c r="A894" s="420" t="n"/>
      <c r="B894" s="475">
        <f>HYPERLINK("https://www.codechef.com/ACMIND18/problems/REDCGAME","CODECHEF REDCGAME")</f>
        <v/>
      </c>
      <c r="C894" s="418" t="n"/>
      <c r="D894" s="418" t="n"/>
      <c r="E894" s="418" t="n"/>
      <c r="F894" s="418" t="n"/>
      <c r="G894" s="418" t="n"/>
      <c r="H894" s="418" t="n"/>
      <c r="I894" s="404">
        <f>SUM(E894:H894)</f>
        <v/>
      </c>
      <c r="J894" s="418" t="n"/>
      <c r="K894" s="418" t="n"/>
      <c r="L894" s="418" t="n"/>
      <c r="M894" s="420" t="n"/>
      <c r="N894" s="488" t="inlineStr">
        <is>
          <t>two pointers</t>
        </is>
      </c>
      <c r="O894" s="488" t="n">
        <v>138</v>
      </c>
      <c r="P894" s="488" t="n">
        <v>5</v>
      </c>
      <c r="Q894" s="297" t="inlineStr">
        <is>
          <t>p2</t>
        </is>
      </c>
    </row>
    <row r="895" ht="15.75" customHeight="1" s="279">
      <c r="A895" s="420" t="inlineStr">
        <is>
          <t>Sereja ans Anagrams</t>
        </is>
      </c>
      <c r="B895" s="475">
        <f>HYPERLINK("http://codeforces.com/contest/368/problem/D","CF368-D2-D")</f>
        <v/>
      </c>
      <c r="C895" s="418" t="n"/>
      <c r="D895" s="418" t="n"/>
      <c r="E895" s="418" t="n"/>
      <c r="F895" s="418" t="n"/>
      <c r="G895" s="418" t="n"/>
      <c r="H895" s="418" t="n"/>
      <c r="I895" s="404">
        <f>SUM(E895:H895)</f>
        <v/>
      </c>
      <c r="J895" s="418" t="n"/>
      <c r="K895" s="418" t="n"/>
      <c r="L895" s="512" t="n"/>
      <c r="M895" s="493">
        <f>HYPERLINK("https://github.com/MohamedNabil97/CompetitiveProgramming/blob/master/CodeForces/CF368-D2-D.cpp","Sol")</f>
        <v/>
      </c>
      <c r="N895" s="488" t="inlineStr">
        <is>
          <t>two pointers or adhoc or kmp-like</t>
        </is>
      </c>
      <c r="O895" s="488" t="n">
        <v>138</v>
      </c>
      <c r="P895" s="488" t="n">
        <v>5</v>
      </c>
      <c r="Q895" s="297" t="inlineStr">
        <is>
          <t>p2</t>
        </is>
      </c>
    </row>
    <row r="896" ht="15.75" customHeight="1" s="279">
      <c r="A896" s="420" t="inlineStr">
        <is>
          <t>Vasya and String</t>
        </is>
      </c>
      <c r="B896" s="475">
        <f>HYPERLINK("http://codeforces.com/contest/676/problem/C","CF676-D2-C")</f>
        <v/>
      </c>
      <c r="C896" s="418" t="n"/>
      <c r="D896" s="418" t="n"/>
      <c r="E896" s="418" t="n"/>
      <c r="F896" s="418" t="n"/>
      <c r="G896" s="418" t="n"/>
      <c r="H896" s="418" t="n"/>
      <c r="I896" s="404">
        <f>SUM(E896:H896)</f>
        <v/>
      </c>
      <c r="J896" s="418" t="n"/>
      <c r="K896" s="418" t="n"/>
      <c r="L896" s="418" t="n"/>
      <c r="M896" s="420" t="n"/>
      <c r="N896" s="488" t="inlineStr">
        <is>
          <t>two pointers</t>
        </is>
      </c>
      <c r="O896" s="488" t="n">
        <v>138</v>
      </c>
      <c r="P896" s="488" t="n">
        <v>5</v>
      </c>
    </row>
    <row r="897" ht="15.75" customHeight="1" s="279">
      <c r="A897" s="420" t="inlineStr">
        <is>
          <t>To Add or Not to Add</t>
        </is>
      </c>
      <c r="B897" s="475">
        <f>HYPERLINK("http://codeforces.com/contest/231/problem/C","CF231-D2-C")</f>
        <v/>
      </c>
      <c r="C897" s="418" t="n"/>
      <c r="D897" s="418" t="n"/>
      <c r="E897" s="418" t="n"/>
      <c r="F897" s="418" t="n"/>
      <c r="G897" s="418" t="n"/>
      <c r="H897" s="418" t="n"/>
      <c r="I897" s="404">
        <f>SUM(E897:H897)</f>
        <v/>
      </c>
      <c r="J897" s="418" t="n"/>
      <c r="K897" s="418" t="n"/>
      <c r="L897" s="418" t="n"/>
      <c r="M897" s="420" t="n"/>
      <c r="N897" s="488" t="inlineStr">
        <is>
          <t>two pointers, binary search</t>
        </is>
      </c>
      <c r="O897" s="488" t="n">
        <v>138</v>
      </c>
      <c r="P897" s="488" t="n">
        <v>5</v>
      </c>
    </row>
    <row r="898" ht="15.75" customHeight="1" s="279">
      <c r="A898" s="420" t="inlineStr">
        <is>
          <t>Two Strings</t>
        </is>
      </c>
      <c r="B898" s="475">
        <f>HYPERLINK("http://codeforces.com/contest/224/problem/D","CF224-D2-D")</f>
        <v/>
      </c>
      <c r="C898" s="418" t="n"/>
      <c r="D898" s="418" t="n"/>
      <c r="E898" s="418" t="n"/>
      <c r="F898" s="418" t="n"/>
      <c r="G898" s="418" t="n"/>
      <c r="H898" s="418" t="n"/>
      <c r="I898" s="404">
        <f>SUM(E898:H898)</f>
        <v/>
      </c>
      <c r="J898" s="404" t="n"/>
      <c r="K898" s="404" t="n"/>
      <c r="L898" s="418" t="n"/>
      <c r="M898" s="493">
        <f>HYPERLINK("https://github.com/abdullaAshraf/Problem-Solving/blob/master/CodeForces/CF224-D2-D.cpp","Sol")</f>
        <v/>
      </c>
      <c r="N898" s="488" t="inlineStr">
        <is>
          <t>two pointers</t>
        </is>
      </c>
      <c r="O898" s="488" t="n">
        <v>138</v>
      </c>
      <c r="P898" s="488" t="n">
        <v>5.5</v>
      </c>
      <c r="Q898" s="297" t="inlineStr">
        <is>
          <t>p3</t>
        </is>
      </c>
    </row>
    <row r="899" ht="15.75" customHeight="1" s="279">
      <c r="A899" s="420" t="inlineStr">
        <is>
          <t>Chips</t>
        </is>
      </c>
      <c r="B899" s="475">
        <f>HYPERLINK("http://codeforces.com/contest/334/problem/D","CF334-D2-D")</f>
        <v/>
      </c>
      <c r="C899" s="418" t="n"/>
      <c r="D899" s="418" t="n"/>
      <c r="E899" s="418" t="n"/>
      <c r="F899" s="418" t="n"/>
      <c r="G899" s="418" t="n"/>
      <c r="H899" s="418" t="n"/>
      <c r="I899" s="404">
        <f>SUM(E899:H899)</f>
        <v/>
      </c>
      <c r="J899" s="418" t="n"/>
      <c r="K899" s="418" t="n"/>
      <c r="L899" s="418" t="n"/>
      <c r="M899" s="420" t="n"/>
      <c r="N899" s="488" t="inlineStr">
        <is>
          <t>two pointers or adhoc</t>
        </is>
      </c>
      <c r="O899" s="488" t="n">
        <v>138</v>
      </c>
      <c r="P899" s="488" t="n">
        <v>5.5</v>
      </c>
      <c r="Q899" s="297" t="inlineStr">
        <is>
          <t>p2</t>
        </is>
      </c>
    </row>
    <row r="900" ht="15.75" customHeight="1" s="279">
      <c r="A900" s="420" t="n"/>
      <c r="B900" s="475">
        <f>HYPERLINK("http://codeforces.com/contest/309/problem/B","CF309-D12-B")</f>
        <v/>
      </c>
      <c r="C900" s="418" t="n"/>
      <c r="D900" s="418" t="n"/>
      <c r="E900" s="418" t="n"/>
      <c r="F900" s="418" t="n"/>
      <c r="G900" s="418" t="n"/>
      <c r="H900" s="418" t="n"/>
      <c r="I900" s="404">
        <f>SUM(E900:H900)</f>
        <v/>
      </c>
      <c r="J900" s="404" t="n"/>
      <c r="K900" s="404" t="n"/>
      <c r="L900" s="512" t="n"/>
      <c r="M900" s="488" t="n"/>
      <c r="N900" s="488" t="inlineStr">
        <is>
          <t>two pointers, dp or greedy</t>
        </is>
      </c>
      <c r="O900" s="488" t="n">
        <v>138</v>
      </c>
      <c r="P900" s="488" t="n">
        <v>5.5</v>
      </c>
      <c r="Q900" s="297" t="inlineStr">
        <is>
          <t>p2</t>
        </is>
      </c>
    </row>
    <row r="901" ht="15.75" customHeight="1" s="279">
      <c r="A901" s="420" t="inlineStr">
        <is>
          <t>Maximum Xor Secondary</t>
        </is>
      </c>
      <c r="B901" s="475">
        <f>HYPERLINK("http://codeforces.com/contest/281/problem/D","CF281-D2-D")</f>
        <v/>
      </c>
      <c r="C901" s="418" t="n"/>
      <c r="D901" s="418" t="n"/>
      <c r="E901" s="418" t="n"/>
      <c r="F901" s="418" t="n"/>
      <c r="G901" s="418" t="n"/>
      <c r="H901" s="418" t="n"/>
      <c r="I901" s="404">
        <f>SUM(E901:H901)</f>
        <v/>
      </c>
      <c r="J901" s="418" t="n"/>
      <c r="K901" s="418" t="n"/>
      <c r="L901" s="512" t="n"/>
      <c r="M901" s="420" t="n"/>
      <c r="N901" s="488" t="inlineStr">
        <is>
          <t>two pointers or segment tree</t>
        </is>
      </c>
      <c r="O901" s="488" t="n">
        <v>138</v>
      </c>
      <c r="P901" s="488" t="n">
        <v>5.5</v>
      </c>
    </row>
    <row r="902" ht="15.75" customHeight="1" s="279">
      <c r="A902" s="431" t="n"/>
      <c r="B902" s="431" t="n"/>
      <c r="C902" s="469" t="n"/>
      <c r="D902" s="469" t="n"/>
      <c r="E902" s="469" t="n"/>
      <c r="F902" s="469" t="n"/>
      <c r="G902" s="469" t="n"/>
      <c r="H902" s="469" t="n"/>
      <c r="I902" s="470" t="n"/>
      <c r="J902" s="521" t="n"/>
      <c r="K902" s="470" t="n"/>
      <c r="L902" s="521" t="n"/>
      <c r="M902" s="522" t="n"/>
      <c r="N902" s="523" t="n"/>
      <c r="O902" s="524" t="n"/>
      <c r="P902" s="524" t="n"/>
      <c r="Q902" s="525" t="n"/>
    </row>
    <row r="903" ht="23.25" customHeight="1" s="279">
      <c r="A903" s="295" t="n"/>
      <c r="B903" s="295" t="n"/>
      <c r="C903" s="295" t="n"/>
      <c r="D903" s="295" t="n"/>
      <c r="E903" s="295" t="n"/>
      <c r="F903" s="295" t="n"/>
      <c r="G903" s="526" t="inlineStr">
        <is>
          <t>Caregory Code to match with Col O</t>
        </is>
      </c>
      <c r="K903" s="526" t="inlineStr">
        <is>
          <t>Learning Order</t>
        </is>
      </c>
      <c r="M903" s="526" t="inlineStr">
        <is>
          <t>Video</t>
        </is>
      </c>
      <c r="O903" s="295" t="n"/>
      <c r="P903" s="480" t="n"/>
      <c r="Q903" s="295" t="n"/>
    </row>
    <row r="904" ht="15.75" customHeight="1" s="279">
      <c r="A904" s="527" t="inlineStr">
        <is>
          <t>1- Column K (learning order) is same order as the sheets A-D
2- You may follow this order to learn
3- Column G is the category code as in Column O
4- Example: You learned DFS. Codes for it are 60, 61, 63. Go and solve as u want from the problems with these codes. E.g. UVA 10461</t>
        </is>
      </c>
      <c r="C904" s="295" t="n"/>
      <c r="D904" s="295" t="n"/>
      <c r="E904" s="295" t="n"/>
      <c r="F904" s="295" t="n"/>
      <c r="G904" s="528" t="n"/>
      <c r="H904" s="420" t="n"/>
      <c r="I904" s="420" t="n"/>
      <c r="K904" s="420" t="n">
        <v>1</v>
      </c>
      <c r="L904" s="420" t="n"/>
      <c r="M904" s="424">
        <f>HYPERLINK("https://www.youtube.com/watch?v=fd0Ebfa_mJ0","Watch - Approaching Problem Statement ")</f>
        <v/>
      </c>
      <c r="O904" s="529" t="n"/>
      <c r="P904" s="480" t="n"/>
      <c r="Q904" s="295" t="n"/>
    </row>
    <row r="905" ht="15.75" customHeight="1" s="279">
      <c r="C905" s="295" t="n"/>
      <c r="D905" s="295" t="n"/>
      <c r="E905" s="295" t="n"/>
      <c r="F905" s="295" t="n"/>
      <c r="G905" s="530" t="n"/>
      <c r="H905" s="420" t="n"/>
      <c r="I905" s="420" t="n"/>
      <c r="K905" s="420" t="n">
        <v>2</v>
      </c>
      <c r="L905" s="420" t="n"/>
      <c r="M905" s="424">
        <f>HYPERLINK("https://www.youtube.com/watch?v=olcmPKZNqnM","Watch - Thinking - On papers Not on PC ")</f>
        <v/>
      </c>
      <c r="O905" s="529" t="n"/>
      <c r="P905" s="305" t="n"/>
    </row>
    <row r="906" ht="15.75" customHeight="1" s="279">
      <c r="C906" s="295" t="n"/>
      <c r="D906" s="295" t="n"/>
      <c r="E906" s="295" t="n"/>
      <c r="F906" s="295" t="n"/>
      <c r="G906" s="528" t="n"/>
      <c r="H906" s="420" t="n"/>
      <c r="I906" s="420" t="n"/>
      <c r="K906" s="420" t="n">
        <v>3</v>
      </c>
      <c r="L906" s="420" t="n"/>
      <c r="M906" s="424">
        <f>HYPERLINK("https://www.youtube.com/watch?v=EQzmtn4PzYQ","Watch - Measuring Algorithms Perfromance - 1")</f>
        <v/>
      </c>
      <c r="O906" s="529" t="n"/>
      <c r="P906" s="499" t="n"/>
    </row>
    <row r="907" ht="15.75" customHeight="1" s="279">
      <c r="C907" s="295" t="n"/>
      <c r="D907" s="295" t="n"/>
      <c r="E907" s="295" t="n"/>
      <c r="F907" s="295" t="n"/>
      <c r="G907" s="528" t="n"/>
      <c r="H907" s="420" t="n"/>
      <c r="I907" s="420" t="n"/>
      <c r="K907" s="420" t="n">
        <v>4</v>
      </c>
      <c r="L907" s="420" t="n"/>
      <c r="M907" s="430">
        <f>HYPERLINK("https://www.youtube.com/watch?v=Syx2qDjj7TE","Watch - Elementary Math - Introduction")</f>
        <v/>
      </c>
      <c r="O907" s="499" t="n"/>
      <c r="P907" s="499" t="n"/>
    </row>
    <row r="908" ht="15.75" customHeight="1" s="279">
      <c r="C908" s="295" t="n"/>
      <c r="D908" s="295" t="n"/>
      <c r="E908" s="295" t="n"/>
      <c r="F908" s="295" t="n"/>
      <c r="G908" s="528" t="n">
        <v>109</v>
      </c>
      <c r="H908" s="420" t="n"/>
      <c r="I908" s="420" t="n"/>
      <c r="K908" s="420" t="n">
        <v>5</v>
      </c>
      <c r="L908" s="420" t="n"/>
      <c r="M908" s="499">
        <f>HYPERLINK("https://www.youtube.com/watch?v=9sqvjnvuLtY","Watch - Number Theory - Modular Arithmatic")</f>
        <v/>
      </c>
      <c r="O908" s="520" t="n"/>
      <c r="P908" s="520" t="n"/>
    </row>
    <row r="909" ht="15.75" customHeight="1" s="279">
      <c r="C909" s="295" t="n"/>
      <c r="D909" s="295" t="n"/>
      <c r="E909" s="295" t="n"/>
      <c r="F909" s="295" t="n"/>
      <c r="G909" s="531" t="inlineStr">
        <is>
          <t>89, 101</t>
        </is>
      </c>
      <c r="H909" s="420" t="n"/>
      <c r="I909" s="420" t="n"/>
      <c r="K909" s="420" t="n">
        <v>6</v>
      </c>
      <c r="L909" s="420" t="n"/>
      <c r="M909" s="499">
        <f>HYPERLINK("https://www.youtube.com/watch?v=sr6WgCLcgVM","Watch - Combinatorics - Counting Principles")</f>
        <v/>
      </c>
      <c r="O909" s="305" t="n"/>
      <c r="P909" s="305" t="n"/>
    </row>
    <row r="910" ht="15.75" customHeight="1" s="279">
      <c r="C910" s="295" t="n"/>
      <c r="D910" s="295" t="n"/>
      <c r="E910" s="295" t="n"/>
      <c r="F910" s="295" t="n"/>
      <c r="G910" s="530" t="n"/>
      <c r="H910" s="420" t="n"/>
      <c r="I910" s="420" t="n"/>
      <c r="K910" s="420" t="n">
        <v>7</v>
      </c>
      <c r="L910" s="420" t="n"/>
      <c r="M910" s="499">
        <f>HYPERLINK("https://www.youtube.com/watch?v=jzfcfQVBtKA","Watch - Graph Theory - Intro")</f>
        <v/>
      </c>
      <c r="O910" s="499" t="n"/>
      <c r="P910" s="499" t="n"/>
    </row>
    <row r="911" ht="15.75" customHeight="1" s="279">
      <c r="C911" s="295" t="n"/>
      <c r="D911" s="295" t="n"/>
      <c r="E911" s="295" t="n"/>
      <c r="F911" s="295" t="n"/>
      <c r="G911" s="532" t="inlineStr">
        <is>
          <t>60,61,63</t>
        </is>
      </c>
      <c r="H911" s="420" t="n"/>
      <c r="I911" s="420" t="n"/>
      <c r="K911" s="420" t="n">
        <v>8</v>
      </c>
      <c r="L911" s="420" t="n"/>
      <c r="M911" s="499">
        <f>HYPERLINK("https://www.youtube.com/watch?v=9DP0X2xlPCo","Watch - Graph Theory - DFS")</f>
        <v/>
      </c>
      <c r="O911" s="499" t="n"/>
      <c r="P911" s="499" t="n"/>
    </row>
    <row r="912" ht="15.75" customHeight="1" s="279">
      <c r="C912" s="295" t="n"/>
      <c r="D912" s="295" t="n"/>
      <c r="E912" s="295" t="n"/>
      <c r="F912" s="295" t="n"/>
      <c r="G912" s="530" t="n">
        <v>45</v>
      </c>
      <c r="H912" s="420" t="n"/>
      <c r="I912" s="420" t="n"/>
      <c r="K912" s="420" t="n">
        <v>9</v>
      </c>
      <c r="L912" s="420" t="n"/>
      <c r="M912" s="424">
        <f>HYPERLINK("https://www.youtube.com/watch?v=XhVmgLXYvuQ","Watch - Computational Geometry - Intro")</f>
        <v/>
      </c>
      <c r="O912" s="305" t="n"/>
      <c r="P912" s="305" t="n"/>
    </row>
    <row r="913" ht="15.75" customHeight="1" s="279">
      <c r="C913" s="295" t="n"/>
      <c r="D913" s="295" t="n"/>
      <c r="E913" s="295" t="n"/>
      <c r="F913" s="295" t="n"/>
      <c r="G913" s="530" t="n">
        <v>45</v>
      </c>
      <c r="H913" s="420" t="n"/>
      <c r="I913" s="420" t="n"/>
      <c r="K913" s="420" t="n">
        <v>10</v>
      </c>
      <c r="L913" s="420" t="n"/>
      <c r="M913" s="424">
        <f>HYPERLINK("https://www.youtube.com/watch?v=2CUN12WrNr4","Watch - Computational Geometry - Point and Vector")</f>
        <v/>
      </c>
      <c r="O913" s="529" t="n"/>
      <c r="P913" s="480" t="n"/>
      <c r="Q913" s="295" t="n"/>
    </row>
    <row r="914" ht="15.75" customHeight="1" s="279">
      <c r="C914" s="295" t="n"/>
      <c r="D914" s="295" t="n"/>
      <c r="E914" s="295" t="n"/>
      <c r="F914" s="295" t="n"/>
      <c r="G914" s="528" t="n">
        <v>6</v>
      </c>
      <c r="H914" s="420" t="n"/>
      <c r="I914" s="420" t="n"/>
      <c r="K914" s="420" t="n">
        <v>11</v>
      </c>
      <c r="L914" s="420" t="n"/>
      <c r="M914" s="424">
        <f>HYPERLINK("https://www.youtube.com/watch?v=2G7RzlxTNPo","Watch - Search Techniques - Binary Search")</f>
        <v/>
      </c>
      <c r="O914" s="492" t="n"/>
      <c r="P914" s="295" t="n"/>
      <c r="Q914" s="295" t="n"/>
    </row>
    <row r="915" ht="15.75" customHeight="1" s="279">
      <c r="C915" s="295" t="n"/>
      <c r="D915" s="295" t="n"/>
      <c r="E915" s="295" t="n"/>
      <c r="F915" s="295" t="n"/>
      <c r="G915" s="528" t="n"/>
      <c r="H915" s="420" t="n"/>
      <c r="I915" s="420" t="n"/>
      <c r="K915" s="420" t="n">
        <v>12</v>
      </c>
      <c r="L915" s="420" t="n"/>
      <c r="M915" s="458">
        <f>HYPERLINK("https://www.youtube.com/watch?v=x1rCxxKfFbM","Watch - Thinking - Problem Simplification ")</f>
        <v/>
      </c>
      <c r="O915" s="492" t="n"/>
      <c r="P915" s="295" t="n"/>
      <c r="Q915" s="295" t="n"/>
    </row>
    <row r="916" ht="15.75" customHeight="1" s="279">
      <c r="C916" s="295" t="n"/>
      <c r="D916" s="295" t="n"/>
      <c r="E916" s="295" t="n"/>
      <c r="F916" s="295" t="n"/>
      <c r="G916" s="530" t="n"/>
      <c r="H916" s="420" t="n"/>
      <c r="I916" s="420" t="n"/>
      <c r="K916" s="420" t="n">
        <v>13</v>
      </c>
      <c r="L916" s="420" t="n"/>
      <c r="M916" s="458">
        <f>HYPERLINK("https://www.youtube.com/watch?v=7z1498LTCgg","Watch - Thinking - Brainstorm - Rank - Approach ")</f>
        <v/>
      </c>
      <c r="O916" s="305" t="n"/>
      <c r="P916" s="305" t="n"/>
    </row>
    <row r="917" ht="15.75" customHeight="1" s="279">
      <c r="C917" s="295" t="n"/>
      <c r="D917" s="295" t="n"/>
      <c r="E917" s="295" t="n"/>
      <c r="F917" s="295" t="n"/>
      <c r="G917" s="530" t="n"/>
      <c r="H917" s="420" t="n"/>
      <c r="I917" s="420" t="n"/>
      <c r="K917" s="420" t="n">
        <v>14</v>
      </c>
      <c r="L917" s="420" t="n"/>
      <c r="M917" s="458">
        <f>HYPERLINK("https://www.youtube.com/watch?v=KAS83uXf_8s&amp;list=PLPt2dINI2MIZPFq6HyUB1Uhxdh1UDnZMS","Study STL")</f>
        <v/>
      </c>
      <c r="O917" s="305" t="n"/>
      <c r="P917" s="305" t="n"/>
    </row>
    <row r="918" ht="15.75" customHeight="1" s="279">
      <c r="C918" s="295" t="n"/>
      <c r="D918" s="295" t="n"/>
      <c r="E918" s="295" t="n"/>
      <c r="F918" s="295" t="n"/>
      <c r="G918" s="531" t="inlineStr">
        <is>
          <t>89, 101</t>
        </is>
      </c>
      <c r="H918" s="420" t="n"/>
      <c r="I918" s="420" t="n"/>
      <c r="K918" s="420" t="n">
        <v>15</v>
      </c>
      <c r="L918" s="420" t="n"/>
      <c r="M918" s="458">
        <f>HYPERLINK("https://www.youtube.com/watch?v=9wvqNeX_JnI","Watch - Combinatorics - Permutations and Combinations - 1")</f>
        <v/>
      </c>
      <c r="O918" s="499" t="n"/>
      <c r="P918" s="499" t="n"/>
    </row>
    <row r="919" ht="15.75" customHeight="1" s="279">
      <c r="C919" s="295" t="n"/>
      <c r="D919" s="295" t="n"/>
      <c r="E919" s="295" t="n"/>
      <c r="F919" s="295" t="n"/>
      <c r="G919" s="531" t="inlineStr">
        <is>
          <t>89, 101</t>
        </is>
      </c>
      <c r="H919" s="420" t="n"/>
      <c r="I919" s="420" t="n"/>
      <c r="K919" s="420" t="n">
        <v>16</v>
      </c>
      <c r="L919" s="420" t="n"/>
      <c r="M919" s="458">
        <f>HYPERLINK("https://www.youtube.com/watch?v=8V_xhaPpjmM","Watch - Combinatorics - Permutations and Combinations - 2")</f>
        <v/>
      </c>
      <c r="O919" s="458" t="n"/>
      <c r="P919" s="458" t="n"/>
    </row>
    <row r="920" ht="15.75" customHeight="1" s="279">
      <c r="C920" s="295" t="n"/>
      <c r="D920" s="295" t="n"/>
      <c r="E920" s="295" t="n"/>
      <c r="F920" s="295" t="n"/>
      <c r="G920" s="530" t="n"/>
      <c r="H920" s="420" t="n"/>
      <c r="I920" s="420" t="n"/>
      <c r="K920" s="420" t="n">
        <v>17</v>
      </c>
      <c r="L920" s="420" t="n"/>
      <c r="M920" s="458">
        <f>HYPERLINK("https://www.youtube.com/watch?v=tKGztXjnnuA","Watch - Training-Secrets of Success")</f>
        <v/>
      </c>
      <c r="O920" s="458" t="n"/>
      <c r="P920" s="458" t="n"/>
    </row>
    <row r="921" ht="15.75" customHeight="1" s="279">
      <c r="A921" s="420" t="n"/>
      <c r="B921" s="420" t="n"/>
      <c r="C921" s="295" t="n"/>
      <c r="D921" s="295" t="n"/>
      <c r="E921" s="295" t="n"/>
      <c r="F921" s="295" t="n"/>
      <c r="G921" s="530" t="n"/>
      <c r="H921" s="420" t="n"/>
      <c r="I921" s="420" t="n"/>
      <c r="K921" s="420" t="n">
        <v>18</v>
      </c>
      <c r="L921" s="420" t="n"/>
      <c r="M921" s="458">
        <f>HYPERLINK("https://www.youtube.com/watch?v=tKGztXjnnuA","Watch - Training-Secrets of Success")</f>
        <v/>
      </c>
      <c r="N921" s="533" t="n"/>
      <c r="O921" s="458" t="n"/>
      <c r="P921" s="458" t="n"/>
    </row>
    <row r="922" ht="15.75" customHeight="1" s="279">
      <c r="A922" s="420" t="n"/>
      <c r="B922" s="420" t="n"/>
      <c r="C922" s="295" t="n"/>
      <c r="D922" s="295" t="n"/>
      <c r="E922" s="295" t="n"/>
      <c r="F922" s="295" t="n"/>
      <c r="G922" s="530" t="n">
        <v>99</v>
      </c>
      <c r="H922" s="420" t="n"/>
      <c r="I922" s="420" t="n"/>
      <c r="K922" s="420" t="n">
        <v>19</v>
      </c>
      <c r="L922" s="420" t="n"/>
      <c r="M922" s="458">
        <f>HYPERLINK("https://www.youtube.com/watch?v=YklnFXpq0ZE","Watch - Number Theory - Fib, GCD, LCM, Pow")</f>
        <v/>
      </c>
      <c r="O922" s="458" t="n"/>
      <c r="P922" s="458" t="n"/>
    </row>
    <row r="923" ht="15.75" customHeight="1" s="279">
      <c r="A923" s="295" t="n"/>
      <c r="B923" s="295" t="n"/>
      <c r="C923" s="295" t="n"/>
      <c r="D923" s="295" t="n"/>
      <c r="E923" s="295" t="n"/>
      <c r="F923" s="295" t="n"/>
      <c r="G923" s="528" t="n"/>
      <c r="H923" s="420" t="n"/>
      <c r="I923" s="420" t="n"/>
      <c r="K923" s="420" t="n">
        <v>20</v>
      </c>
      <c r="L923" s="420" t="n"/>
      <c r="M923" s="515">
        <f>HYPERLINK("https://www.youtube.com/watch?v=hqOqr6vFPp8","Watch - Prefix Sum")</f>
        <v/>
      </c>
      <c r="O923" s="458" t="n"/>
      <c r="P923" s="534" t="n"/>
      <c r="Q923" s="295" t="n"/>
    </row>
    <row r="924" ht="15.75" customHeight="1" s="279">
      <c r="A924" s="420" t="n"/>
      <c r="B924" s="420" t="n"/>
      <c r="C924" s="295" t="n"/>
      <c r="D924" s="295" t="n"/>
      <c r="E924" s="295" t="n"/>
      <c r="F924" s="295" t="n"/>
      <c r="G924" s="530" t="n">
        <v>57</v>
      </c>
      <c r="H924" s="420" t="n"/>
      <c r="I924" s="420" t="n"/>
      <c r="K924" s="420" t="n">
        <v>21</v>
      </c>
      <c r="L924" s="420" t="n"/>
      <c r="M924" s="458">
        <f>HYPERLINK("https://www.youtube.com/watch?v=COB1GHq0YwY","Watch - Graph Theory - BFS")</f>
        <v/>
      </c>
      <c r="O924" s="458" t="n"/>
      <c r="P924" s="424" t="n"/>
    </row>
    <row r="925" ht="15.75" customHeight="1" s="279">
      <c r="A925" s="420" t="n"/>
      <c r="B925" s="420" t="n"/>
      <c r="C925" s="295" t="n"/>
      <c r="D925" s="295" t="n"/>
      <c r="E925" s="295" t="n"/>
      <c r="F925" s="295" t="n"/>
      <c r="G925" s="528" t="n"/>
      <c r="H925" s="420" t="n"/>
      <c r="I925" s="420" t="n"/>
      <c r="K925" s="420" t="n">
        <v>22</v>
      </c>
      <c r="L925" s="420" t="n"/>
      <c r="M925" s="458">
        <f>HYPERLINK("https://www.youtube.com/watch?v=hyk46UmJPS4&amp;list=PLPt2dINI2MIZPFq6HyUB1Uhxdh1UDnZMS&amp;index=22","Review - Recursion")</f>
        <v/>
      </c>
      <c r="N925" s="458" t="n"/>
      <c r="O925" s="458" t="n"/>
      <c r="P925" s="499" t="n"/>
    </row>
    <row r="926" ht="15.75" customHeight="1" s="279">
      <c r="A926" s="420" t="n"/>
      <c r="B926" s="420" t="n"/>
      <c r="C926" s="295" t="n"/>
      <c r="D926" s="295" t="n"/>
      <c r="E926" s="295" t="n"/>
      <c r="F926" s="295" t="n"/>
      <c r="G926" s="530" t="n">
        <v>10</v>
      </c>
      <c r="H926" s="420" t="n"/>
      <c r="I926" s="420" t="n"/>
      <c r="K926" s="420" t="n">
        <v>23</v>
      </c>
      <c r="L926" s="420" t="n"/>
      <c r="M926" s="458">
        <f>HYPERLINK("https://www.youtube.com/watch?v=gFdP6X4CyKU","Watch - DP - intro 1")</f>
        <v/>
      </c>
      <c r="O926" s="458" t="n"/>
      <c r="P926" s="458" t="n"/>
    </row>
    <row r="927" ht="15.75" customHeight="1" s="279">
      <c r="A927" s="420" t="n"/>
      <c r="B927" s="420" t="n"/>
      <c r="C927" s="295" t="n"/>
      <c r="D927" s="295" t="n"/>
      <c r="E927" s="295" t="n"/>
      <c r="F927" s="295" t="n"/>
      <c r="G927" s="530" t="n">
        <v>10</v>
      </c>
      <c r="H927" s="420" t="n"/>
      <c r="I927" s="420" t="n"/>
      <c r="K927" s="420" t="n">
        <v>24</v>
      </c>
      <c r="L927" s="420" t="n"/>
      <c r="M927" s="458">
        <f>HYPERLINK("https://www.youtube.com/watch?v=1j3srLj-C5Q","Watch - DP - intro 2")</f>
        <v/>
      </c>
      <c r="O927" s="458" t="n"/>
      <c r="P927" s="458" t="n"/>
    </row>
    <row r="928" ht="15.75" customHeight="1" s="279">
      <c r="A928" s="420" t="n"/>
      <c r="B928" s="420" t="n"/>
      <c r="C928" s="295" t="n"/>
      <c r="D928" s="295" t="n"/>
      <c r="E928" s="295" t="n"/>
      <c r="F928" s="295" t="n"/>
      <c r="G928" s="530" t="n">
        <v>45</v>
      </c>
      <c r="H928" s="420" t="n"/>
      <c r="I928" s="420" t="n"/>
      <c r="K928" s="420" t="n">
        <v>25</v>
      </c>
      <c r="L928" s="420" t="n"/>
      <c r="M928" s="458">
        <f>HYPERLINK("https://www.youtube.com/watch?v=dcMtSmWHLP4","Watch - Computational Geometry - Complex Number and 2D Point")</f>
        <v/>
      </c>
      <c r="O928" s="458" t="n"/>
      <c r="P928" s="458" t="n"/>
    </row>
    <row r="929" ht="15.75" customHeight="1" s="279">
      <c r="A929" s="420" t="n"/>
      <c r="B929" s="420" t="n"/>
      <c r="C929" s="295" t="n"/>
      <c r="D929" s="295" t="n"/>
      <c r="E929" s="295" t="n"/>
      <c r="F929" s="295" t="n"/>
      <c r="G929" s="530" t="n">
        <v>48</v>
      </c>
      <c r="H929" s="420" t="n"/>
      <c r="I929" s="420" t="n"/>
      <c r="K929" s="420" t="n">
        <v>26</v>
      </c>
      <c r="L929" s="420" t="n"/>
      <c r="M929" s="458">
        <f>HYPERLINK("https://www.youtube.com/watch?v=1Vi2h7dKdEQ","Watch - Computational Geometry - Lines and Distances")</f>
        <v/>
      </c>
      <c r="O929" s="458" t="n"/>
      <c r="P929" s="458" t="n"/>
    </row>
    <row r="930" ht="15.75" customHeight="1" s="279">
      <c r="A930" s="420" t="n"/>
      <c r="B930" s="420" t="n"/>
      <c r="C930" s="295" t="n"/>
      <c r="D930" s="295" t="n"/>
      <c r="E930" s="295" t="n"/>
      <c r="F930" s="295" t="n"/>
      <c r="G930" s="530" t="n"/>
      <c r="H930" s="420" t="n"/>
      <c r="I930" s="420" t="n"/>
      <c r="K930" s="420" t="n">
        <v>27</v>
      </c>
      <c r="L930" s="420" t="n"/>
      <c r="M930" s="430">
        <f>HYPERLINK("https://www.youtube.com/watch?v=WTr12dK2Se0","Watch - Focused and Diffused Thinking")</f>
        <v/>
      </c>
      <c r="O930" s="458" t="n"/>
      <c r="P930" s="424" t="n"/>
    </row>
    <row r="931" ht="15.75" customHeight="1" s="279">
      <c r="A931" s="420" t="n"/>
      <c r="B931" s="420" t="n"/>
      <c r="C931" s="295" t="n"/>
      <c r="D931" s="295" t="n"/>
      <c r="E931" s="295" t="n"/>
      <c r="F931" s="295" t="n"/>
      <c r="G931" s="532" t="inlineStr">
        <is>
          <t>65,76</t>
        </is>
      </c>
      <c r="H931" s="420" t="n"/>
      <c r="I931" s="420" t="n"/>
      <c r="K931" s="420" t="n">
        <v>28</v>
      </c>
      <c r="L931" s="420" t="n"/>
      <c r="M931" s="458">
        <f>HYPERLINK("https://www.youtube.com/watch?v=HQ5ANfzSDn0","Watch - Graph Theory - MST - Kruskal")</f>
        <v/>
      </c>
      <c r="O931" s="458" t="n"/>
      <c r="P931" s="458" t="n"/>
    </row>
    <row r="932" ht="15.75" customHeight="1" s="279">
      <c r="A932" s="420" t="n"/>
      <c r="B932" s="420" t="n"/>
      <c r="C932" s="295" t="n"/>
      <c r="D932" s="295" t="n"/>
      <c r="E932" s="295" t="n"/>
      <c r="F932" s="295" t="n"/>
      <c r="G932" s="530" t="n">
        <v>84</v>
      </c>
      <c r="H932" s="420" t="n"/>
      <c r="I932" s="420" t="n"/>
      <c r="K932" s="420" t="n">
        <v>29</v>
      </c>
      <c r="L932" s="420" t="n"/>
      <c r="M932" s="534">
        <f>HYPERLINK("https://www.youtube.com/watch?v=iXxP_liQklk","Watch - Intro to Greedy")</f>
        <v/>
      </c>
      <c r="O932" s="458" t="n"/>
      <c r="P932" s="458" t="n"/>
    </row>
    <row r="933" ht="15.75" customHeight="1" s="279">
      <c r="A933" s="420" t="n"/>
      <c r="B933" s="420" t="n"/>
      <c r="C933" s="295" t="n"/>
      <c r="D933" s="295" t="n"/>
      <c r="E933" s="295" t="n"/>
      <c r="F933" s="295" t="n"/>
      <c r="G933" s="530" t="n"/>
      <c r="H933" s="420" t="n"/>
      <c r="I933" s="420" t="n"/>
      <c r="K933" s="420" t="n">
        <v>30</v>
      </c>
      <c r="L933" s="420" t="n"/>
      <c r="M933" s="458">
        <f>HYPERLINK("https://www.youtube.com/watch?v=Tm_Vlkv4mOo","Watch - Thinking - Concretely - Symbolically - Pictorially ")</f>
        <v/>
      </c>
      <c r="O933" s="458" t="n"/>
      <c r="P933" s="424" t="n"/>
    </row>
    <row r="934" ht="15.75" customHeight="1" s="279">
      <c r="A934" s="420" t="n"/>
      <c r="B934" s="420" t="n"/>
      <c r="C934" s="295" t="n"/>
      <c r="D934" s="295" t="n"/>
      <c r="E934" s="295" t="n"/>
      <c r="F934" s="295" t="n"/>
      <c r="G934" s="530" t="n"/>
      <c r="H934" s="420" t="n"/>
      <c r="I934" s="420" t="n"/>
      <c r="K934" s="420" t="n">
        <v>31</v>
      </c>
      <c r="L934" s="420" t="n"/>
      <c r="M934" s="458">
        <f>HYPERLINK("https://www.youtube.com/watch?v=6Fx8T_NBA7Q","Watch - Thinking - Problem Constraints ")</f>
        <v/>
      </c>
      <c r="O934" s="458" t="n"/>
      <c r="P934" s="305" t="n"/>
    </row>
    <row r="935" ht="15.75" customHeight="1" s="279">
      <c r="A935" s="420" t="n"/>
      <c r="B935" s="420" t="n"/>
      <c r="C935" s="295" t="n"/>
      <c r="D935" s="295" t="n"/>
      <c r="E935" s="295" t="n"/>
      <c r="F935" s="295" t="n"/>
      <c r="G935" s="530" t="n">
        <v>117</v>
      </c>
      <c r="H935" s="420" t="n"/>
      <c r="I935" s="420" t="n"/>
      <c r="K935" s="420" t="n">
        <v>32</v>
      </c>
      <c r="L935" s="420" t="n"/>
      <c r="M935" s="458">
        <f>HYPERLINK("https://www.youtube.com/watch?v=VZBfW08ECgA","Watch - Number Theory - Primes")</f>
        <v/>
      </c>
      <c r="O935" s="458" t="n"/>
      <c r="P935" s="458" t="n"/>
    </row>
    <row r="936" ht="15.75" customHeight="1" s="279">
      <c r="A936" s="420" t="n"/>
      <c r="B936" s="420" t="n"/>
      <c r="C936" s="295" t="n"/>
      <c r="D936" s="295" t="n"/>
      <c r="E936" s="295" t="n"/>
      <c r="F936" s="295" t="n"/>
      <c r="G936" s="530" t="n"/>
      <c r="H936" s="420" t="n"/>
      <c r="I936" s="420" t="n"/>
      <c r="K936" s="420" t="n">
        <v>33</v>
      </c>
      <c r="L936" s="420" t="n"/>
      <c r="M936" s="458">
        <f>HYPERLINK("https://www.youtube.com/watch?v=jxvaNAthWRI","Watch - Algebra - Number Bases and Polynomials")</f>
        <v/>
      </c>
      <c r="O936" s="458" t="n"/>
      <c r="P936" s="458" t="n"/>
    </row>
    <row r="937" ht="15.75" customHeight="1" s="279">
      <c r="A937" s="420" t="n"/>
      <c r="B937" s="420" t="n"/>
      <c r="C937" s="295" t="n"/>
      <c r="D937" s="295" t="n"/>
      <c r="E937" s="295" t="n"/>
      <c r="F937" s="295" t="n"/>
      <c r="G937" s="530" t="n"/>
      <c r="H937" s="420" t="n"/>
      <c r="I937" s="420" t="n"/>
      <c r="K937" s="420" t="n">
        <v>34</v>
      </c>
      <c r="L937" s="420" t="n"/>
      <c r="M937" s="458">
        <f>HYPERLINK("https://www.youtube.com/watch?v=O2SPaQXYHFc","Watch - Algebra - Patterns in Sequences")</f>
        <v/>
      </c>
      <c r="O937" s="458" t="n"/>
      <c r="P937" s="458" t="n"/>
    </row>
    <row r="938" ht="15.75" customHeight="1" s="279">
      <c r="A938" s="420" t="n"/>
      <c r="B938" s="420" t="n"/>
      <c r="C938" s="295" t="n"/>
      <c r="D938" s="295" t="n"/>
      <c r="E938" s="295" t="n"/>
      <c r="F938" s="295" t="n"/>
      <c r="G938" s="530" t="n">
        <v>118</v>
      </c>
      <c r="H938" s="420" t="n"/>
      <c r="I938" s="420" t="n"/>
      <c r="K938" s="420" t="n">
        <v>35</v>
      </c>
      <c r="L938" s="420" t="n"/>
      <c r="M938" s="458">
        <f>HYPERLINK("https://www.youtube.com/watch?v=xY8To84R87Y","Watch - Algebra - Summations")</f>
        <v/>
      </c>
      <c r="O938" s="458" t="n"/>
      <c r="P938" s="458" t="n"/>
    </row>
    <row r="939" ht="15.75" customHeight="1" s="279">
      <c r="A939" s="420" t="n"/>
      <c r="B939" s="420" t="n"/>
      <c r="C939" s="295" t="n"/>
      <c r="D939" s="295" t="n"/>
      <c r="E939" s="295" t="n"/>
      <c r="F939" s="295" t="n"/>
      <c r="G939" s="530" t="n"/>
      <c r="H939" s="420" t="n"/>
      <c r="I939" s="420" t="n"/>
      <c r="K939" s="420" t="n">
        <v>36</v>
      </c>
      <c r="L939" s="420" t="n"/>
      <c r="M939" s="458">
        <f>HYPERLINK("https://www.youtube.com/watch?v=OcqD14kI3Wk","Watch - Algebra - Basic Matrix Operations")</f>
        <v/>
      </c>
      <c r="O939" s="458" t="n"/>
      <c r="P939" s="458" t="n"/>
    </row>
    <row r="940" ht="15.75" customHeight="1" s="279">
      <c r="A940" s="420" t="n"/>
      <c r="B940" s="420" t="n"/>
      <c r="C940" s="295" t="n"/>
      <c r="D940" s="295" t="n"/>
      <c r="E940" s="295" t="n"/>
      <c r="F940" s="295" t="n"/>
      <c r="G940" s="530" t="n"/>
      <c r="H940" s="420" t="n"/>
      <c r="I940" s="420" t="n"/>
      <c r="K940" s="420" t="n">
        <v>37</v>
      </c>
      <c r="L940" s="420" t="n"/>
      <c r="M940" s="458">
        <f>HYPERLINK("https://www.youtube.com/watch?v=F0hmrbOW8nw","Watch - Thinking - Problem Abstraction ")</f>
        <v/>
      </c>
      <c r="O940" s="458" t="n"/>
      <c r="P940" s="458" t="n"/>
    </row>
    <row r="941" ht="15.75" customHeight="1" s="279">
      <c r="A941" s="420" t="n"/>
      <c r="B941" s="420" t="n"/>
      <c r="C941" s="295" t="n"/>
      <c r="D941" s="295" t="n"/>
      <c r="E941" s="295" t="n"/>
      <c r="F941" s="295" t="n"/>
      <c r="G941" s="528" t="n"/>
      <c r="H941" s="420" t="n"/>
      <c r="I941" s="420" t="n"/>
      <c r="K941" s="420" t="n">
        <v>38</v>
      </c>
      <c r="L941" s="420" t="n"/>
      <c r="M941" s="458">
        <f>HYPERLINK("https://www.youtube.com/watch?v=0wlc8Rhyybo","Watch - Thinking - Problem Reverse")</f>
        <v/>
      </c>
      <c r="O941" s="458" t="n"/>
      <c r="P941" s="499" t="n"/>
    </row>
    <row r="942" ht="15.75" customHeight="1" s="279">
      <c r="A942" s="420" t="n"/>
      <c r="B942" s="420" t="n"/>
      <c r="C942" s="295" t="n"/>
      <c r="D942" s="295" t="n"/>
      <c r="E942" s="295" t="n"/>
      <c r="F942" s="295" t="n"/>
      <c r="G942" s="530" t="n">
        <v>3</v>
      </c>
      <c r="H942" s="420" t="n"/>
      <c r="I942" s="420" t="n"/>
      <c r="K942" s="420" t="n">
        <v>39</v>
      </c>
      <c r="L942" s="420" t="n"/>
      <c r="M942" s="458">
        <f>HYPERLINK("https://www.youtube.com/watch?v=hLXVhRzqq18","Watch - Search Techniques - Backtracking")</f>
        <v/>
      </c>
      <c r="O942" s="458" t="n"/>
      <c r="P942" s="458" t="n"/>
    </row>
    <row r="943" ht="15.75" customHeight="1" s="279">
      <c r="A943" s="420" t="n"/>
      <c r="B943" s="420" t="n"/>
      <c r="C943" s="295" t="n"/>
      <c r="D943" s="295" t="n"/>
      <c r="E943" s="295" t="n"/>
      <c r="F943" s="295" t="n"/>
      <c r="G943" s="530" t="n"/>
      <c r="H943" s="420" t="n"/>
      <c r="I943" s="420" t="n"/>
      <c r="K943" s="420" t="n">
        <v>40</v>
      </c>
      <c r="L943" s="420" t="n"/>
      <c r="M943" s="458">
        <f>HYPERLINK("https://www.youtube.com/watch?v=ldwGf-iVsdU&amp;t=2s&amp;list=PLPt2dINI2MIZPFq6HyUB1Uhxdh1UDnZMS","Review bitmasking")</f>
        <v/>
      </c>
      <c r="N943" s="533" t="n"/>
      <c r="O943" s="458" t="n"/>
      <c r="P943" s="458" t="n"/>
    </row>
    <row r="944" ht="15.75" customHeight="1" s="279">
      <c r="A944" s="420" t="n"/>
      <c r="B944" s="420" t="n"/>
      <c r="C944" s="295" t="n"/>
      <c r="D944" s="295" t="n"/>
      <c r="E944" s="295" t="n"/>
      <c r="F944" s="295" t="n"/>
      <c r="G944" s="528" t="n">
        <v>10</v>
      </c>
      <c r="H944" s="420" t="n"/>
      <c r="I944" s="420" t="n"/>
      <c r="K944" s="420" t="n">
        <v>41</v>
      </c>
      <c r="L944" s="420" t="n"/>
      <c r="M944" s="458">
        <f>HYPERLINK("https://www.youtube.com/watch?v=vAqaki1BhS0","Watch - DP - Subset Style")</f>
        <v/>
      </c>
      <c r="O944" s="458" t="n"/>
      <c r="P944" s="499" t="n"/>
    </row>
    <row r="945" ht="15.75" customHeight="1" s="279">
      <c r="A945" s="420" t="n"/>
      <c r="B945" s="420" t="n"/>
      <c r="C945" s="295" t="n"/>
      <c r="D945" s="295" t="n"/>
      <c r="E945" s="295" t="n"/>
      <c r="F945" s="295" t="n"/>
      <c r="G945" s="530" t="n">
        <v>32</v>
      </c>
      <c r="H945" s="420" t="n"/>
      <c r="I945" s="420" t="n"/>
      <c r="K945" s="420" t="n">
        <v>42</v>
      </c>
      <c r="L945" s="420" t="n"/>
      <c r="M945" s="458">
        <f>HYPERLINK("https://www.youtube.com/watch?v=bDlAqeWsKsg","Watch - DP - Consecutive Ranges Style")</f>
        <v/>
      </c>
      <c r="O945" s="458" t="n"/>
      <c r="P945" s="458" t="n"/>
    </row>
    <row r="946" ht="15.75" customHeight="1" s="279">
      <c r="A946" s="420" t="n"/>
      <c r="B946" s="420" t="n"/>
      <c r="C946" s="295" t="n"/>
      <c r="D946" s="295" t="n"/>
      <c r="E946" s="295" t="n"/>
      <c r="F946" s="295" t="n"/>
      <c r="G946" s="530" t="n">
        <v>32</v>
      </c>
      <c r="H946" s="420" t="n"/>
      <c r="I946" s="420" t="n"/>
      <c r="K946" s="420" t="n">
        <v>43</v>
      </c>
      <c r="L946" s="420" t="n"/>
      <c r="M946" s="458">
        <f>HYPERLINK("https://www.youtube.com/watch?v=b4AC2jGNGEM","Watch - DP - Nested Ranges Style")</f>
        <v/>
      </c>
      <c r="O946" s="458" t="n"/>
      <c r="P946" s="520" t="n"/>
    </row>
    <row r="947" ht="15.75" customHeight="1" s="279">
      <c r="A947" s="420" t="n"/>
      <c r="B947" s="420" t="n"/>
      <c r="C947" s="295" t="n"/>
      <c r="D947" s="295" t="n"/>
      <c r="E947" s="295" t="n"/>
      <c r="F947" s="295" t="n"/>
      <c r="G947" s="530" t="n">
        <v>32</v>
      </c>
      <c r="H947" s="420" t="n"/>
      <c r="I947" s="420" t="n"/>
      <c r="K947" s="420" t="n">
        <v>44</v>
      </c>
      <c r="L947" s="420" t="n"/>
      <c r="M947" s="458">
        <f>HYPERLINK("https://www.youtube.com/watch?v=pJbeTrSKl3Y","Watch - DP - General Ranges Style")</f>
        <v/>
      </c>
      <c r="O947" s="458" t="n"/>
      <c r="P947" s="533" t="n"/>
    </row>
    <row r="948" ht="15.75" customHeight="1" s="279">
      <c r="A948" s="420" t="n"/>
      <c r="B948" s="420" t="n"/>
      <c r="C948" s="295" t="n"/>
      <c r="D948" s="295" t="n"/>
      <c r="E948" s="295" t="n"/>
      <c r="F948" s="295" t="n"/>
      <c r="G948" s="530" t="n"/>
      <c r="H948" s="420" t="n"/>
      <c r="I948" s="420" t="n"/>
      <c r="K948" s="420" t="n">
        <v>45</v>
      </c>
      <c r="L948" s="420" t="n"/>
      <c r="M948" s="458">
        <f>HYPERLINK("https://www.youtube.com/watch?v=5zILiqyQ2ts","Watch - Thinking - Incrementally")</f>
        <v/>
      </c>
      <c r="O948" s="458" t="n"/>
      <c r="P948" s="458" t="n"/>
    </row>
    <row r="949" ht="15.75" customHeight="1" s="279">
      <c r="A949" s="420" t="n"/>
      <c r="B949" s="420" t="n"/>
      <c r="C949" s="295" t="n"/>
      <c r="D949" s="295" t="n"/>
      <c r="E949" s="295" t="n"/>
      <c r="F949" s="295" t="n"/>
      <c r="G949" s="530" t="n"/>
      <c r="H949" s="420" t="n"/>
      <c r="I949" s="420" t="n"/>
      <c r="K949" s="420" t="n">
        <v>46</v>
      </c>
      <c r="L949" s="420" t="n"/>
      <c r="M949" s="458">
        <f>HYPERLINK("https://www.youtube.com/watch?v=9fwHOeebIgc","Watch - Thinking - Problem Domain re-interpretation")</f>
        <v/>
      </c>
      <c r="O949" s="458" t="n"/>
      <c r="P949" s="458" t="n"/>
    </row>
    <row r="950" ht="15.75" customHeight="1" s="279">
      <c r="A950" s="420" t="n"/>
      <c r="B950" s="420" t="n"/>
      <c r="C950" s="295" t="n"/>
      <c r="D950" s="295" t="n"/>
      <c r="E950" s="295" t="n"/>
      <c r="F950" s="295" t="n"/>
      <c r="G950" s="530" t="n">
        <v>95</v>
      </c>
      <c r="H950" s="420" t="n"/>
      <c r="I950" s="420" t="n"/>
      <c r="K950" s="420" t="n">
        <v>47</v>
      </c>
      <c r="L950" s="420" t="n"/>
      <c r="M950" s="458">
        <f>HYPERLINK("https://www.youtube.com/watch?v=-5ApOQDhBtU","Watch - Number Theory - Factorization")</f>
        <v/>
      </c>
      <c r="O950" s="458" t="n"/>
      <c r="P950" s="458" t="n"/>
    </row>
    <row r="951" ht="15.75" customHeight="1" s="279">
      <c r="A951" s="420" t="n"/>
      <c r="B951" s="420" t="n"/>
      <c r="C951" s="295" t="n"/>
      <c r="D951" s="295" t="n"/>
      <c r="E951" s="295" t="n"/>
      <c r="F951" s="295" t="n"/>
      <c r="G951" s="528" t="n">
        <v>113</v>
      </c>
      <c r="H951" s="420" t="n"/>
      <c r="I951" s="420" t="n"/>
      <c r="K951" s="420" t="n">
        <v>48</v>
      </c>
      <c r="L951" s="420" t="n"/>
      <c r="M951" s="518">
        <f>HYPERLINK("https://www.youtube.com/playlist?list=PLC58778F28211FA19","Watch - Probability - First 9 videos")</f>
        <v/>
      </c>
      <c r="O951" s="458" t="n"/>
      <c r="P951" s="499" t="n"/>
    </row>
    <row r="952" ht="15.75" customHeight="1" s="279">
      <c r="A952" s="420" t="n"/>
      <c r="B952" s="420" t="n"/>
      <c r="C952" s="295" t="n"/>
      <c r="D952" s="295" t="n"/>
      <c r="E952" s="295" t="n"/>
      <c r="F952" s="295" t="n"/>
      <c r="G952" s="530" t="n"/>
      <c r="H952" s="420" t="n"/>
      <c r="I952" s="420" t="n"/>
      <c r="K952" s="420" t="n">
        <v>49</v>
      </c>
      <c r="L952" s="420" t="n"/>
      <c r="M952" s="458">
        <f>HYPERLINK("https://www.youtube.com/watch?v=YUIwEX8UEN0","Watch - Thinking - Search Space and Output Analysis")</f>
        <v/>
      </c>
      <c r="O952" s="458" t="n"/>
      <c r="P952" s="458" t="n"/>
      <c r="Q952" s="458" t="n"/>
    </row>
    <row r="953" ht="15.75" customHeight="1" s="279">
      <c r="A953" s="420" t="n"/>
      <c r="B953" s="420" t="n"/>
      <c r="C953" s="295" t="n"/>
      <c r="D953" s="295" t="n"/>
      <c r="E953" s="295" t="n"/>
      <c r="F953" s="295" t="n"/>
      <c r="G953" s="530" t="n"/>
      <c r="H953" s="420" t="n"/>
      <c r="I953" s="420" t="n"/>
      <c r="K953" s="420" t="n">
        <v>50</v>
      </c>
      <c r="L953" s="420" t="n"/>
      <c r="M953" s="458">
        <f>HYPERLINK("https://www.youtube.com/watch?v=TP8QXP6PBqM","Watch - Thinking - Observations Discovery ")</f>
        <v/>
      </c>
      <c r="O953" s="458" t="n"/>
      <c r="P953" s="520" t="n"/>
      <c r="Q953" s="520" t="n"/>
    </row>
    <row r="954" ht="15.75" customHeight="1" s="279">
      <c r="A954" s="420" t="n"/>
      <c r="B954" s="420" t="n"/>
      <c r="C954" s="295" t="n"/>
      <c r="D954" s="295" t="n"/>
      <c r="E954" s="295" t="n"/>
      <c r="F954" s="295" t="n"/>
      <c r="G954" s="530" t="n">
        <v>41</v>
      </c>
      <c r="H954" s="420" t="n"/>
      <c r="I954" s="420" t="n"/>
      <c r="K954" s="420" t="n">
        <v>51</v>
      </c>
      <c r="L954" s="420" t="n"/>
      <c r="M954" s="458">
        <f>HYPERLINK("https://www.youtube.com/watch?v=rdUs4FGkgRo","Watch - Game Theory - Intro")</f>
        <v/>
      </c>
      <c r="O954" s="458" t="n"/>
      <c r="P954" s="535" t="n"/>
      <c r="Q954" s="535" t="n"/>
    </row>
    <row r="955" ht="15.75" customHeight="1" s="279">
      <c r="A955" s="420" t="n"/>
      <c r="B955" s="420" t="n"/>
      <c r="C955" s="295" t="n"/>
      <c r="D955" s="295" t="n"/>
      <c r="E955" s="295" t="n"/>
      <c r="F955" s="295" t="n"/>
      <c r="G955" s="530" t="n"/>
      <c r="H955" s="420" t="n"/>
      <c r="I955" s="420" t="n"/>
      <c r="K955" s="420" t="n">
        <v>52</v>
      </c>
      <c r="L955" s="420" t="n"/>
      <c r="M955" s="458">
        <f>HYPERLINK("https://www.youtube.com/watch?v=fT4JZU5hO58","Watch - Thinking - Misc - Solution Verification - Implementation")</f>
        <v/>
      </c>
      <c r="O955" s="458" t="n"/>
      <c r="P955" s="458" t="n"/>
      <c r="Q955" s="458" t="n"/>
    </row>
    <row r="956" ht="15.75" customHeight="1" s="279">
      <c r="A956" s="420" t="n"/>
      <c r="B956" s="420" t="n"/>
      <c r="C956" s="295" t="n"/>
      <c r="D956" s="295" t="n"/>
      <c r="E956" s="295" t="n"/>
      <c r="F956" s="295" t="n"/>
      <c r="G956" s="536" t="n">
        <v>64</v>
      </c>
      <c r="H956" s="420" t="n"/>
      <c r="I956" s="420" t="n"/>
      <c r="K956" s="420" t="n">
        <v>53</v>
      </c>
      <c r="L956" s="420" t="n"/>
      <c r="M956" s="458">
        <f>HYPERLINK("https://www.youtube.com/watch?v=6GzxGabB5MI","Watch - Graph Theory - Dijkstra")</f>
        <v/>
      </c>
      <c r="O956" s="458" t="n"/>
      <c r="P956" s="424" t="n"/>
      <c r="Q956" s="424" t="n"/>
    </row>
    <row r="957" ht="15.75" customHeight="1" s="279">
      <c r="A957" s="420" t="n"/>
      <c r="B957" s="420" t="n"/>
      <c r="C957" s="295" t="n"/>
      <c r="D957" s="295" t="n"/>
      <c r="E957" s="295" t="n"/>
      <c r="F957" s="295" t="n"/>
      <c r="G957" s="530" t="n">
        <v>48</v>
      </c>
      <c r="H957" s="420" t="n"/>
      <c r="I957" s="420" t="n"/>
      <c r="K957" s="420" t="n">
        <v>54</v>
      </c>
      <c r="L957" s="420" t="n"/>
      <c r="M957" s="458">
        <f>HYPERLINK("https://www.youtube.com/watch?v=k5fDfC9vfWM","Watch - Computational Geometry - Lines Intersections")</f>
        <v/>
      </c>
      <c r="O957" s="458" t="n"/>
      <c r="P957" s="458" t="n"/>
      <c r="Q957" s="458" t="n"/>
    </row>
    <row r="958" ht="15.75" customHeight="1" s="279">
      <c r="A958" s="420" t="n"/>
      <c r="B958" s="420" t="n"/>
      <c r="C958" s="295" t="n"/>
      <c r="D958" s="295" t="n"/>
      <c r="E958" s="295" t="n"/>
      <c r="F958" s="295" t="n"/>
      <c r="G958" s="530" t="n">
        <v>47</v>
      </c>
      <c r="H958" s="420" t="n"/>
      <c r="I958" s="420" t="n"/>
      <c r="K958" s="420" t="n">
        <v>55</v>
      </c>
      <c r="L958" s="420" t="n"/>
      <c r="M958" s="458">
        <f>HYPERLINK("https://www.youtube.com/watch?v=Fa69kqT9NPY","Watch - Computational Geometry - Circles")</f>
        <v/>
      </c>
      <c r="O958" s="458" t="n"/>
      <c r="P958" s="520" t="n"/>
      <c r="Q958" s="520" t="n"/>
    </row>
    <row r="959" ht="15.75" customHeight="1" s="279">
      <c r="A959" s="420" t="n"/>
      <c r="B959" s="420" t="n"/>
      <c r="C959" s="295" t="n"/>
      <c r="D959" s="295" t="n"/>
      <c r="E959" s="295" t="n"/>
      <c r="F959" s="295" t="n"/>
      <c r="G959" s="530" t="n"/>
      <c r="H959" s="420" t="n"/>
      <c r="I959" s="420" t="n"/>
      <c r="K959" s="420" t="n">
        <v>56</v>
      </c>
      <c r="L959" s="420" t="n"/>
      <c r="M959" s="458">
        <f>HYPERLINK("https://www.youtube.com/watch?v=uKSLJw0ZUd8","Watch - Thinking - Error Inspection - History - Contest Strategy ")</f>
        <v/>
      </c>
      <c r="O959" s="458" t="n"/>
      <c r="P959" s="458" t="n"/>
    </row>
    <row r="960" ht="15.75" customHeight="1" s="279">
      <c r="A960" s="420" t="n"/>
      <c r="B960" s="420" t="n"/>
      <c r="C960" s="295" t="n"/>
      <c r="D960" s="295" t="n"/>
      <c r="E960" s="295" t="n"/>
      <c r="F960" s="295" t="n"/>
      <c r="G960" s="530" t="n">
        <v>15</v>
      </c>
      <c r="H960" s="420" t="n"/>
      <c r="I960" s="420" t="n"/>
      <c r="K960" s="420" t="n">
        <v>57</v>
      </c>
      <c r="L960" s="420" t="n"/>
      <c r="M960" s="458">
        <f>HYPERLINK("https://www.youtube.com/watch?v=s3IGwpJwCTA","Watch - DP - Building Output")</f>
        <v/>
      </c>
      <c r="O960" s="458" t="n"/>
      <c r="P960" s="458" t="n"/>
    </row>
    <row r="961" ht="15.75" customHeight="1" s="279">
      <c r="A961" s="420" t="n"/>
      <c r="B961" s="420" t="n"/>
      <c r="C961" s="295" t="n"/>
      <c r="D961" s="295" t="n"/>
      <c r="E961" s="295" t="n"/>
      <c r="F961" s="295" t="n"/>
      <c r="G961" s="530" t="n">
        <v>18</v>
      </c>
      <c r="H961" s="420" t="n"/>
      <c r="I961" s="420" t="n"/>
      <c r="K961" s="420" t="n">
        <v>58</v>
      </c>
      <c r="L961" s="420" t="n"/>
      <c r="M961" s="458">
        <f>HYPERLINK("https://www.youtube.com/watch?v=lE09Ss_Sy0A","Watch - DP - Counting")</f>
        <v/>
      </c>
      <c r="O961" s="458" t="n"/>
      <c r="P961" s="424" t="n"/>
    </row>
    <row r="962" ht="15.75" customHeight="1" s="279">
      <c r="A962" s="420" t="n"/>
      <c r="B962" s="420" t="n"/>
      <c r="C962" s="295" t="n"/>
      <c r="D962" s="295" t="n"/>
      <c r="E962" s="295" t="n"/>
      <c r="F962" s="295" t="n"/>
      <c r="G962" s="530" t="n"/>
      <c r="H962" s="420" t="n"/>
      <c r="I962" s="420" t="n"/>
      <c r="K962" s="420" t="n">
        <v>59</v>
      </c>
      <c r="L962" s="420" t="n"/>
      <c r="M962" s="458">
        <f>HYPERLINK("https://www.youtube.com/watch?v=f_lt366qTZc","Watch - Thinking - Let's Put All Together ")</f>
        <v/>
      </c>
      <c r="O962" s="458" t="n"/>
      <c r="P962" s="458" t="n"/>
      <c r="Q962" s="458" t="n"/>
    </row>
    <row r="963" ht="15.75" customHeight="1" s="279">
      <c r="A963" s="420" t="n"/>
      <c r="B963" s="420" t="n"/>
      <c r="C963" s="295" t="n"/>
      <c r="D963" s="295" t="n"/>
      <c r="E963" s="295" t="n"/>
      <c r="F963" s="295" t="n"/>
      <c r="G963" s="530" t="n">
        <v>37</v>
      </c>
      <c r="H963" s="420" t="n"/>
      <c r="I963" s="420" t="n"/>
      <c r="K963" s="420" t="n">
        <v>60</v>
      </c>
      <c r="L963" s="420" t="n"/>
      <c r="M963" s="458">
        <f>HYPERLINK("https://www.youtube.com/watch?v=PrXbn8-zw14","Watch - DP - Table Method")</f>
        <v/>
      </c>
      <c r="O963" s="458" t="n"/>
      <c r="P963" s="458" t="n"/>
      <c r="Q963" s="458" t="n"/>
    </row>
    <row r="964" ht="15.75" customHeight="1" s="279">
      <c r="A964" s="420" t="n"/>
      <c r="B964" s="420" t="n"/>
      <c r="C964" s="295" t="n"/>
      <c r="D964" s="295" t="n"/>
      <c r="E964" s="295" t="n"/>
      <c r="F964" s="295" t="n"/>
      <c r="G964" s="530" t="n">
        <v>68</v>
      </c>
      <c r="H964" s="420" t="n"/>
      <c r="I964" s="420" t="n"/>
      <c r="K964" s="420" t="n">
        <v>61</v>
      </c>
      <c r="L964" s="420" t="n"/>
      <c r="M964" s="458">
        <f>HYPERLINK("https://www.youtube.com/watch?v=ZIJLCVn4KzQ","Watch - Graph Theory - Floyd Warshal")</f>
        <v/>
      </c>
      <c r="O964" s="458" t="n"/>
      <c r="P964" s="458" t="n"/>
      <c r="Q964" s="458" t="n"/>
    </row>
    <row r="965" ht="15.75" customHeight="1" s="279">
      <c r="A965" s="420" t="n"/>
      <c r="B965" s="420" t="n"/>
      <c r="C965" s="295" t="n"/>
      <c r="D965" s="295" t="n"/>
      <c r="E965" s="295" t="n"/>
      <c r="F965" s="295" t="n"/>
      <c r="G965" s="530" t="n"/>
      <c r="H965" s="420" t="n"/>
      <c r="I965" s="420" t="n"/>
      <c r="K965" s="420" t="n">
        <v>62</v>
      </c>
      <c r="L965" s="420" t="n"/>
      <c r="M965" s="458">
        <f>HYPERLINK("https://www.youtube.com/watch?v=ZNYQrKpR42g","Watch - Measuring Algorithms Perfromance - 2")</f>
        <v/>
      </c>
      <c r="O965" s="458" t="n"/>
      <c r="P965" s="458" t="n"/>
      <c r="Q965" s="458" t="n"/>
    </row>
    <row r="966" ht="15.75" customHeight="1" s="279">
      <c r="A966" s="420" t="n"/>
      <c r="B966" s="420" t="n"/>
      <c r="C966" s="295" t="n"/>
      <c r="D966" s="295" t="n"/>
      <c r="E966" s="295" t="n"/>
      <c r="F966" s="295" t="n"/>
      <c r="G966" s="530" t="n">
        <v>62</v>
      </c>
      <c r="H966" s="420" t="n"/>
      <c r="I966" s="420" t="n"/>
      <c r="K966" s="420" t="n">
        <v>63</v>
      </c>
      <c r="L966" s="420" t="n"/>
      <c r="M966" s="515">
        <f>HYPERLINK("https://www.youtube.com/watch?v=RASvnfG2SSE","Watch - Graph Theory - Tree Diameter and Isomorphism")</f>
        <v/>
      </c>
      <c r="O966" s="458" t="n"/>
      <c r="P966" s="458" t="n"/>
      <c r="Q966" s="458" t="n"/>
    </row>
    <row r="967" ht="15.75" customHeight="1" s="279">
      <c r="A967" s="420" t="n"/>
      <c r="B967" s="420" t="n"/>
      <c r="C967" s="295" t="n"/>
      <c r="D967" s="295" t="n"/>
      <c r="E967" s="295" t="n"/>
      <c r="F967" s="295" t="n"/>
      <c r="G967" s="530" t="n">
        <v>114</v>
      </c>
      <c r="H967" s="420" t="n"/>
      <c r="I967" s="420" t="n"/>
      <c r="K967" s="420" t="n">
        <v>64</v>
      </c>
      <c r="L967" s="420" t="n"/>
      <c r="M967" s="463">
        <f>HYPERLINK("https://www.youtube.com/watch?v=j__Kredt7vY","Watch Video - Expected Value")</f>
        <v/>
      </c>
      <c r="N967" s="520" t="n"/>
      <c r="O967" s="458" t="n"/>
      <c r="P967" s="458" t="n"/>
      <c r="Q967" s="458" t="n"/>
    </row>
    <row r="968" ht="15.75" customHeight="1" s="279">
      <c r="A968" s="420" t="n"/>
      <c r="B968" s="420" t="n"/>
      <c r="C968" s="295" t="n"/>
      <c r="D968" s="295" t="n"/>
      <c r="E968" s="295" t="n"/>
      <c r="F968" s="295" t="n"/>
      <c r="G968" s="532" t="inlineStr">
        <is>
          <t>122, 125</t>
        </is>
      </c>
      <c r="H968" s="420" t="n"/>
      <c r="I968" s="420" t="n"/>
      <c r="K968" s="420" t="n">
        <v>65</v>
      </c>
      <c r="L968" s="420" t="n"/>
      <c r="M968" s="424">
        <f>HYPERLINK("https://www.youtube.com/watch?v=OLu5oskGGqw&amp;list=PLPt2dINI2MIZX2EtY81WI-lDkvhKziLKM&amp;index=11","Watch - Data Structures - Segment Tree (2 vid)")</f>
        <v/>
      </c>
      <c r="O968" s="458" t="n"/>
      <c r="P968" s="424" t="n"/>
      <c r="Q968" s="424" t="n"/>
    </row>
    <row r="969" ht="15.75" customHeight="1" s="279">
      <c r="A969" s="420" t="n"/>
      <c r="B969" s="420" t="n"/>
      <c r="C969" s="295" t="n"/>
      <c r="D969" s="295" t="n"/>
      <c r="E969" s="295" t="n"/>
      <c r="F969" s="295" t="n"/>
      <c r="G969" s="530" t="n">
        <v>38</v>
      </c>
      <c r="H969" s="420" t="n"/>
      <c r="I969" s="420" t="n"/>
      <c r="K969" s="420" t="n">
        <v>66</v>
      </c>
      <c r="L969" s="420" t="n"/>
      <c r="M969" s="463">
        <f>HYPERLINK("https://codeforces.com/blog/entry/20935","Reading: DP on Trees")</f>
        <v/>
      </c>
      <c r="N969" s="533" t="n"/>
      <c r="O969" s="458" t="n"/>
      <c r="P969" s="458" t="n"/>
      <c r="Q969" s="458" t="n"/>
    </row>
    <row r="970" ht="15.75" customHeight="1" s="279">
      <c r="A970" s="420" t="n"/>
      <c r="B970" s="420" t="n"/>
      <c r="C970" s="295" t="n"/>
      <c r="D970" s="295" t="n"/>
      <c r="E970" s="295" t="n"/>
      <c r="F970" s="295" t="n"/>
      <c r="G970" s="530" t="n">
        <v>138</v>
      </c>
      <c r="H970" s="420" t="n"/>
      <c r="I970" s="420" t="n"/>
      <c r="K970" s="420" t="n">
        <v>67</v>
      </c>
      <c r="L970" s="420" t="n"/>
      <c r="M970" s="499">
        <f>HYPERLINK("https://www.youtube.com/watch?v=n-Xwrr8RFQ0","Watch - Two pointers technique")</f>
        <v/>
      </c>
      <c r="O970" s="458" t="n"/>
      <c r="P970" s="458" t="n"/>
      <c r="Q970" s="458" t="n"/>
    </row>
    <row r="971" ht="15.75" customHeight="1" s="279">
      <c r="A971" s="420" t="n"/>
      <c r="B971" s="420" t="n"/>
      <c r="C971" s="295" t="n"/>
      <c r="D971" s="295" t="n"/>
      <c r="E971" s="295" t="n"/>
      <c r="F971" s="295" t="n"/>
      <c r="G971" s="530" t="n">
        <v>29</v>
      </c>
      <c r="H971" s="420" t="n"/>
      <c r="I971" s="420" t="n"/>
      <c r="K971" s="420" t="n">
        <v>68</v>
      </c>
      <c r="L971" s="420" t="n"/>
      <c r="M971" s="499">
        <f>HYPERLINK("https://www.youtube.com/watch?v=nv6Z6n02Oi0","Watch - DP - Probability")</f>
        <v/>
      </c>
      <c r="O971" s="458" t="n"/>
      <c r="P971" s="458" t="n"/>
      <c r="Q971" s="458" t="n"/>
    </row>
    <row r="972" ht="15.75" customHeight="1" s="279">
      <c r="A972" s="420" t="n"/>
      <c r="B972" s="420" t="n"/>
      <c r="C972" s="295" t="n"/>
      <c r="D972" s="295" t="n"/>
      <c r="E972" s="295" t="n"/>
      <c r="F972" s="295" t="n"/>
      <c r="G972" s="530" t="n">
        <v>11</v>
      </c>
      <c r="H972" s="420" t="n"/>
      <c r="I972" s="420" t="n"/>
      <c r="K972" s="420" t="n">
        <v>69</v>
      </c>
      <c r="L972" s="420" t="n"/>
      <c r="M972" s="499">
        <f>HYPERLINK("https://www.youtube.com/watch?v=8aATaY9sdeE&amp;index=10&amp;list=PLPt2dINI2MIattDutu7IOAMlUuLeN8k2p&amp;t=3s","Watch - DP - Masks (2 vid)")</f>
        <v/>
      </c>
      <c r="O972" s="458" t="n"/>
      <c r="P972" s="458" t="n"/>
      <c r="Q972" s="458" t="n"/>
    </row>
    <row r="973" ht="15.75" customHeight="1" s="279">
      <c r="A973" s="420" t="n"/>
      <c r="B973" s="420" t="n"/>
      <c r="C973" s="295" t="n"/>
      <c r="D973" s="295" t="n"/>
      <c r="E973" s="295" t="n"/>
      <c r="F973" s="295" t="n"/>
      <c r="G973" s="530" t="n">
        <v>135</v>
      </c>
      <c r="H973" s="420" t="n"/>
      <c r="I973" s="420" t="n"/>
      <c r="K973" s="420" t="n">
        <v>70</v>
      </c>
      <c r="L973" s="420" t="n"/>
      <c r="M973" s="499">
        <f>HYPERLINK("https://www.youtube.com/watch?v=IGaJWl0jPY4","Watch - String Processing - Trie")</f>
        <v/>
      </c>
      <c r="O973" s="458" t="n"/>
      <c r="P973" s="458" t="n"/>
      <c r="Q973" s="458" t="n"/>
    </row>
    <row r="974" ht="15.75" customHeight="1" s="279">
      <c r="A974" s="420" t="n"/>
      <c r="B974" s="420" t="n"/>
      <c r="C974" s="295" t="n"/>
      <c r="D974" s="295" t="n"/>
      <c r="E974" s="295" t="n"/>
      <c r="F974" s="295" t="n"/>
      <c r="G974" s="530" t="n">
        <v>36</v>
      </c>
      <c r="H974" s="420" t="n"/>
      <c r="I974" s="420" t="n"/>
      <c r="K974" s="420" t="n">
        <v>71</v>
      </c>
      <c r="L974" s="420" t="n"/>
      <c r="M974" s="515">
        <f>HYPERLINK("https://www.youtube.com/watch?v=t-52tQ3vEgo","Watch - DP - Sub-rectangle style")</f>
        <v/>
      </c>
      <c r="O974" s="458" t="n"/>
      <c r="P974" s="458" t="n"/>
      <c r="Q974" s="458" t="n"/>
    </row>
    <row r="975" ht="15.75" customHeight="1" s="279">
      <c r="A975" s="420" t="n"/>
      <c r="B975" s="420" t="n"/>
      <c r="C975" s="295" t="n"/>
      <c r="D975" s="295" t="n"/>
      <c r="E975" s="295" t="n"/>
      <c r="F975" s="295" t="n"/>
      <c r="G975" s="530" t="n">
        <v>130</v>
      </c>
      <c r="H975" s="420" t="n"/>
      <c r="I975" s="420" t="n"/>
      <c r="K975" s="420" t="n">
        <v>72</v>
      </c>
      <c r="L975" s="420" t="n"/>
      <c r="M975" s="424">
        <f>HYPERLINK("https://www.youtube.com/watch?v=vjxLlFTKhrU&amp;index=2&amp;list=PLPt2dINI2MIYrtHBahPW16S-Wz9wx24Nc","Watch - String Processing - KMP (2 vid)")</f>
        <v/>
      </c>
      <c r="O975" s="458" t="n"/>
      <c r="P975" s="458" t="n"/>
      <c r="Q975" s="458" t="n"/>
    </row>
    <row r="976" ht="15.75" customHeight="1" s="279">
      <c r="A976" s="420" t="n"/>
      <c r="B976" s="420" t="n"/>
      <c r="C976" s="295" t="n"/>
      <c r="D976" s="295" t="n"/>
      <c r="E976" s="295" t="n"/>
      <c r="F976" s="295" t="n"/>
      <c r="G976" s="528" t="n">
        <v>23</v>
      </c>
      <c r="H976" s="420" t="n"/>
      <c r="I976" s="420" t="n"/>
      <c r="K976" s="420" t="n">
        <v>73</v>
      </c>
      <c r="L976" s="420" t="n"/>
      <c r="M976" s="424">
        <f>HYPERLINK("https://www.youtube.com/watch?v=X-cMRvuTGuM&amp;list=PLPt2dINI2MIattDutu7IOAMlUuLeN8k2p&amp;index=19","Watch - DP - Games (2 vid)")</f>
        <v/>
      </c>
      <c r="O976" s="458" t="n"/>
      <c r="P976" s="499" t="n"/>
      <c r="Q976" s="499" t="n"/>
    </row>
    <row r="977" ht="15.75" customHeight="1" s="279">
      <c r="A977" s="295" t="n"/>
      <c r="B977" s="295" t="n"/>
      <c r="C977" s="295" t="n"/>
      <c r="D977" s="295" t="n"/>
      <c r="E977" s="295" t="n"/>
      <c r="F977" s="295" t="n"/>
      <c r="G977" s="528" t="n">
        <v>49</v>
      </c>
      <c r="H977" s="420" t="n"/>
      <c r="I977" s="420" t="n"/>
      <c r="K977" s="420" t="n">
        <v>74</v>
      </c>
      <c r="L977" s="420" t="n"/>
      <c r="M977" s="430">
        <f>HYPERLINK("https://www.youtube.com/watch?v=OnysyxVPPD0","Watch - Computational Geometry - Simple and Convex Polygons")</f>
        <v/>
      </c>
      <c r="O977" s="458" t="n"/>
      <c r="P977" s="480" t="n"/>
      <c r="Q977" s="295" t="n"/>
    </row>
    <row r="978" ht="15.75" customHeight="1" s="279">
      <c r="A978" s="420" t="n"/>
      <c r="B978" s="420" t="n"/>
      <c r="C978" s="295" t="n"/>
      <c r="D978" s="295" t="n"/>
      <c r="E978" s="295" t="n"/>
      <c r="F978" s="295" t="n"/>
      <c r="G978" s="530" t="n">
        <v>49</v>
      </c>
      <c r="H978" s="420" t="n"/>
      <c r="I978" s="420" t="n"/>
      <c r="K978" s="420" t="n">
        <v>75</v>
      </c>
      <c r="L978" s="420" t="n"/>
      <c r="M978" s="430">
        <f>HYPERLINK("http://w.youtube.com/watch?v=Cce_O7EKv2Y","Watch - Computational Geometry - Polygon Area - Centroid - Cut")</f>
        <v/>
      </c>
      <c r="O978" s="458" t="n"/>
      <c r="P978" s="458" t="n"/>
    </row>
    <row r="979" ht="15.75" customHeight="1" s="279">
      <c r="A979" s="420" t="n"/>
      <c r="B979" s="420" t="n"/>
      <c r="C979" s="295" t="n"/>
      <c r="D979" s="295" t="n"/>
      <c r="E979" s="295" t="n"/>
      <c r="F979" s="295" t="n"/>
      <c r="G979" s="530" t="n">
        <v>49</v>
      </c>
      <c r="H979" s="420" t="n"/>
      <c r="I979" s="420" t="n"/>
      <c r="K979" s="420" t="n">
        <v>76</v>
      </c>
      <c r="L979" s="420" t="n"/>
      <c r="M979" s="430">
        <f>HYPERLINK("https://www.youtube.com/watch?v=I5A6OYH1yuM","Watch - Computational Geometry - Point in polygon")</f>
        <v/>
      </c>
      <c r="O979" s="458" t="n"/>
      <c r="P979" s="458" t="n"/>
    </row>
    <row r="980" ht="15.75" customHeight="1" s="279">
      <c r="A980" s="420" t="n"/>
      <c r="B980" s="420" t="n"/>
      <c r="C980" s="295" t="n"/>
      <c r="D980" s="295" t="n"/>
      <c r="E980" s="295" t="n"/>
      <c r="F980" s="295" t="n"/>
      <c r="G980" s="532" t="inlineStr">
        <is>
          <t>71,72,74</t>
        </is>
      </c>
      <c r="H980" s="420" t="n"/>
      <c r="I980" s="420" t="n"/>
      <c r="K980" s="420" t="n">
        <v>77</v>
      </c>
      <c r="L980" s="420" t="n"/>
      <c r="M980" s="424">
        <f>HYPERLINK("https://www.youtube.com/watch?v=QuOiEwefssM&amp;t=2s&amp;list=PLPt2dINI2MIb4OXlJ_EEwIDV9WVUpRQ5K&amp;index=16","Watch - Graph Theory - Maximum Flow (2 vid)")</f>
        <v/>
      </c>
      <c r="O980" s="458" t="n"/>
      <c r="P980" s="458" t="n"/>
    </row>
    <row r="981" ht="15.75" customHeight="1" s="279">
      <c r="A981" s="420" t="n"/>
      <c r="B981" s="420" t="n"/>
      <c r="C981" s="295" t="n"/>
      <c r="D981" s="295" t="n"/>
      <c r="E981" s="295" t="n"/>
      <c r="F981" s="295" t="n"/>
      <c r="G981" s="530" t="n">
        <v>77</v>
      </c>
      <c r="H981" s="420" t="n"/>
      <c r="I981" s="420" t="n"/>
      <c r="K981" s="420" t="n">
        <v>78</v>
      </c>
      <c r="L981" s="420" t="n"/>
      <c r="M981" s="424">
        <f>HYPERLINK("https://www.youtube.com/watch?v=xVMe4JSEQo0&amp;index=14&amp;list=PLPt2dINI2MIb4OXlJ_EEwIDV9WVUpRQ5K","Watch - Graph Theory - SCC (2 vid)")</f>
        <v/>
      </c>
      <c r="O981" s="458" t="n"/>
      <c r="P981" s="458" t="n"/>
    </row>
  </sheetData>
  <mergeCells count="80">
    <mergeCell ref="M932:N932"/>
    <mergeCell ref="M937:N937"/>
    <mergeCell ref="M972:N972"/>
    <mergeCell ref="M924:N924"/>
    <mergeCell ref="M908:N908"/>
    <mergeCell ref="M974:N974"/>
    <mergeCell ref="M919:N919"/>
    <mergeCell ref="M958:N958"/>
    <mergeCell ref="M939:N939"/>
    <mergeCell ref="M948:N948"/>
    <mergeCell ref="M909:N909"/>
    <mergeCell ref="M950:N950"/>
    <mergeCell ref="M934:N934"/>
    <mergeCell ref="M976:N976"/>
    <mergeCell ref="M926:N926"/>
    <mergeCell ref="M960:N960"/>
    <mergeCell ref="M913:N913"/>
    <mergeCell ref="M923:N923"/>
    <mergeCell ref="M975:N975"/>
    <mergeCell ref="M928:N928"/>
    <mergeCell ref="C5:M5"/>
    <mergeCell ref="M962:N962"/>
    <mergeCell ref="M977:N977"/>
    <mergeCell ref="M971:N971"/>
    <mergeCell ref="M952:N952"/>
    <mergeCell ref="C4:M4"/>
    <mergeCell ref="M961:N961"/>
    <mergeCell ref="M936:N936"/>
    <mergeCell ref="M918:N918"/>
    <mergeCell ref="M954:N954"/>
    <mergeCell ref="M963:N963"/>
    <mergeCell ref="M938:N938"/>
    <mergeCell ref="M944:N944"/>
    <mergeCell ref="M915:N915"/>
    <mergeCell ref="A904:B920"/>
    <mergeCell ref="M949:N949"/>
    <mergeCell ref="M980:N980"/>
    <mergeCell ref="M930:N930"/>
    <mergeCell ref="M965:N965"/>
    <mergeCell ref="M917:N917"/>
    <mergeCell ref="M973:N973"/>
    <mergeCell ref="M910:N910"/>
    <mergeCell ref="M916:N916"/>
    <mergeCell ref="M951:N951"/>
    <mergeCell ref="C3:M3"/>
    <mergeCell ref="M903:N903"/>
    <mergeCell ref="M912:N912"/>
    <mergeCell ref="M953:N953"/>
    <mergeCell ref="M970:N970"/>
    <mergeCell ref="G903:J903"/>
    <mergeCell ref="M979:N979"/>
    <mergeCell ref="M929:N929"/>
    <mergeCell ref="M978:N978"/>
    <mergeCell ref="M906:N906"/>
    <mergeCell ref="M914:N914"/>
    <mergeCell ref="M946:N946"/>
    <mergeCell ref="M955:N955"/>
    <mergeCell ref="M964:N964"/>
    <mergeCell ref="M957:N957"/>
    <mergeCell ref="M966:N966"/>
    <mergeCell ref="M911:N911"/>
    <mergeCell ref="M941:N941"/>
    <mergeCell ref="M947:N947"/>
    <mergeCell ref="M981:N981"/>
    <mergeCell ref="M956:N956"/>
    <mergeCell ref="M931:N931"/>
    <mergeCell ref="M940:N940"/>
    <mergeCell ref="M927:N927"/>
    <mergeCell ref="M933:N933"/>
    <mergeCell ref="M942:N942"/>
    <mergeCell ref="M920:N920"/>
    <mergeCell ref="M904:N904"/>
    <mergeCell ref="K903:L903"/>
    <mergeCell ref="M959:N959"/>
    <mergeCell ref="M968:N968"/>
    <mergeCell ref="M905:N905"/>
    <mergeCell ref="M945:N945"/>
    <mergeCell ref="M907:N907"/>
    <mergeCell ref="M935:N935"/>
    <mergeCell ref="M922:N922"/>
  </mergeCells>
  <conditionalFormatting sqref="K7:K981 M903">
    <cfRule type="cellIs" rank="0" priority="2" equalAverage="0" operator="equal" aboveAverage="0" dxfId="5" text="" percent="0" bottom="0">
      <formula>"No"</formula>
    </cfRule>
    <cfRule type="cellIs" rank="0" priority="3" equalAverage="0" operator="equal" aboveAverage="0" dxfId="5" text="" percent="0" bottom="0">
      <formula>"no"</formula>
    </cfRule>
    <cfRule type="cellIs" rank="0" priority="4" equalAverage="0" operator="equal" aboveAverage="0" dxfId="5" text="" percent="0" bottom="0">
      <formula>"NO"</formula>
    </cfRule>
  </conditionalFormatting>
  <conditionalFormatting sqref="C3:C981 D244">
    <cfRule type="cellIs" rank="0" priority="5" equalAverage="0" operator="equal" aboveAverage="0" dxfId="0" text="" percent="0" bottom="0">
      <formula>"AC"</formula>
    </cfRule>
    <cfRule type="containsText" rank="0" priority="6" equalAverage="0" operator="containsText" aboveAverage="0" dxfId="1" text="WA" percent="0" bottom="0">
      <formula>NOT(ISERROR(SEARCH("WA",C3)))</formula>
    </cfRule>
    <cfRule type="containsText" rank="0" priority="7" equalAverage="0" operator="containsText" aboveAverage="0" dxfId="2" text="TLE" percent="0" bottom="0">
      <formula>NOT(ISERROR(SEARCH("TLE",C3)))</formula>
    </cfRule>
    <cfRule type="containsText" rank="0" priority="8" equalAverage="0" operator="containsText" aboveAverage="0" dxfId="3" text="RTE" percent="0" bottom="0">
      <formula>NOT(ISERROR(SEARCH("RTE",C3)))</formula>
    </cfRule>
    <cfRule type="containsText" rank="0" priority="9" equalAverage="0" operator="containsText" aboveAverage="0" dxfId="4" text="CS" percent="0" bottom="0">
      <formula>NOT(ISERROR(SEARCH("CS",C3)))</formula>
    </cfRule>
  </conditionalFormatting>
  <conditionalFormatting sqref="C3:C981">
    <cfRule type="containsText" rank="0" priority="10" equalAverage="0" operator="containsText" aboveAverage="0" dxfId="1" text="WA" percent="0" bottom="0">
      <formula>NOT(ISERROR(SEARCH("WA",C3)))</formula>
    </cfRule>
    <cfRule type="containsText" rank="0" priority="11" equalAverage="0" operator="containsText" aboveAverage="0" dxfId="2" text="TLE" percent="0" bottom="0">
      <formula>NOT(ISERROR(SEARCH("TLE",C3)))</formula>
    </cfRule>
    <cfRule type="containsText" rank="0" priority="12" equalAverage="0" operator="containsText" aboveAverage="0" dxfId="3" text="RTE" percent="0" bottom="0">
      <formula>NOT(ISERROR(SEARCH("RTE",C3)))</formula>
    </cfRule>
    <cfRule type="containsText" rank="0" priority="13" equalAverage="0" operator="containsText" aboveAverage="0" dxfId="4" text="CS" percent="0" bottom="0">
      <formula>NOT(ISERROR(SEARCH("CS",C3)))</formula>
    </cfRule>
  </conditionalFormatting>
  <hyperlinks>
    <hyperlink xmlns:r="http://schemas.openxmlformats.org/officeDocument/2006/relationships" ref="M94" display="Video Solution - Eng Hussein Hesham" r:id="rId1"/>
    <hyperlink xmlns:r="http://schemas.openxmlformats.org/officeDocument/2006/relationships" ref="M141" display="Sol" r:id="rId2"/>
    <hyperlink xmlns:r="http://schemas.openxmlformats.org/officeDocument/2006/relationships" ref="M237" display="Sol" r:id="rId3"/>
    <hyperlink xmlns:r="http://schemas.openxmlformats.org/officeDocument/2006/relationships" ref="M238" display="Sol" r:id="rId4"/>
    <hyperlink xmlns:r="http://schemas.openxmlformats.org/officeDocument/2006/relationships" ref="M475" display="Sol" r:id="rId5"/>
    <hyperlink xmlns:r="http://schemas.openxmlformats.org/officeDocument/2006/relationships" ref="M496" display="Sol" r:id="rId6"/>
    <hyperlink xmlns:r="http://schemas.openxmlformats.org/officeDocument/2006/relationships" ref="M559" display="Sol" r:id="rId7"/>
    <hyperlink xmlns:r="http://schemas.openxmlformats.org/officeDocument/2006/relationships" ref="B605" display="ZOJ 1200" r:id="rId8"/>
    <hyperlink xmlns:r="http://schemas.openxmlformats.org/officeDocument/2006/relationships" ref="M605" display="Sol" r:id="rId9"/>
    <hyperlink xmlns:r="http://schemas.openxmlformats.org/officeDocument/2006/relationships" ref="M868" display="Sol" r:id="rId10"/>
  </hyperlinks>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legacyDrawing xmlns:r="http://schemas.openxmlformats.org/officeDocument/2006/relationships" r:id="anysvml"/>
</worksheet>
</file>

<file path=xl/worksheets/sheet12.xml><?xml version="1.0" encoding="utf-8"?>
<worksheet xmlns="http://schemas.openxmlformats.org/spreadsheetml/2006/main">
  <sheetPr filterMode="0">
    <outlinePr summaryBelow="1" summaryRight="1"/>
    <pageSetUpPr fitToPage="0"/>
  </sheetPr>
  <dimension ref="A1:B7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5.12890625" defaultRowHeight="15.75" zeroHeight="0" outlineLevelRow="0"/>
  <cols>
    <col width="17.13" customWidth="1" style="278" min="1" max="1"/>
    <col width="101.25" customWidth="1" style="278" min="2" max="2"/>
  </cols>
  <sheetData>
    <row r="1" ht="25.5" customHeight="1" s="279">
      <c r="B1" s="537" t="inlineStr">
        <is>
          <t>Weekly Check List</t>
        </is>
      </c>
    </row>
    <row r="2" ht="15.75" customHeight="1" s="279">
      <c r="B2" s="487">
        <f>HYPERLINK("https://www.youtube.com/watch?v=tKGztXjnnuA","Training Secrets of Success Video")</f>
        <v/>
      </c>
    </row>
    <row r="5" ht="15.75" customHeight="1" s="279">
      <c r="A5" s="325" t="inlineStr">
        <is>
          <t>Reading</t>
        </is>
      </c>
    </row>
    <row r="6" ht="30.75" customHeight="1" s="279">
      <c r="B6" s="297" t="inlineStr">
        <is>
          <t>Read within 3-5 minutes for short text problem. If no, you need to work on your Reading English Skills</t>
        </is>
      </c>
    </row>
    <row r="7" ht="30.75" customHeight="1" s="279">
      <c r="B7" s="297" t="inlineStr">
        <is>
          <t>Never suspect later your problem understanding? If happens, you need to improve your comprehension / cases tracing</t>
        </is>
      </c>
    </row>
    <row r="9" ht="15.75" customHeight="1" s="279">
      <c r="A9" s="325" t="inlineStr">
        <is>
          <t>Thinking</t>
        </is>
      </c>
    </row>
    <row r="10" ht="15.75" customHeight="1" s="279">
      <c r="B10" s="297" t="inlineStr">
        <is>
          <t xml:space="preserve">Ready and in the challenging mood before start solving. </t>
        </is>
      </c>
    </row>
    <row r="11" ht="30.75" customHeight="1" s="279">
      <c r="B11" s="327">
        <f>HYPERLINK("https://ask.fm/mostafasaad87/answers/144907000290","Striving against the problem for a reasonable time. If no, you need to change your solving spirit. Be a fighter.")</f>
        <v/>
      </c>
    </row>
    <row r="12" ht="15.75" customHeight="1" s="279">
      <c r="B12" s="297" t="inlineStr">
        <is>
          <t>Found a solution; Do verifications: text cases / extra cases / correctness / time &amp; memory</t>
        </is>
      </c>
    </row>
    <row r="14" ht="15.75" customHeight="1" s="279">
      <c r="A14" s="325" t="inlineStr">
        <is>
          <t>Coding</t>
        </is>
      </c>
    </row>
    <row r="15" ht="15.75" customHeight="1" s="279">
      <c r="B15" s="297" t="inlineStr">
        <is>
          <t>Sketch in your mind the big picture of the code first. Don't rush for coding</t>
        </is>
      </c>
    </row>
    <row r="16" ht="30.75" customHeight="1" s="279">
      <c r="B16" s="297" t="inlineStr">
        <is>
          <t>Code within 10 minutes. If more, you have coding skills problem or your understanding for the approach is not complete</t>
        </is>
      </c>
    </row>
    <row r="17" ht="15.75" customHeight="1" s="279">
      <c r="B17" s="297" t="inlineStr">
        <is>
          <t>A lot of copy paste? Something wrong. Need a better code organization</t>
        </is>
      </c>
    </row>
    <row r="18" ht="15.75" customHeight="1" s="279">
      <c r="B18" s="297" t="inlineStr">
        <is>
          <t>Needed more than 10 minutes to code medium size codes? Why? Identify the issue and solve it</t>
        </is>
      </c>
    </row>
    <row r="20" ht="15.75" customHeight="1" s="279">
      <c r="A20" s="325" t="inlineStr">
        <is>
          <t>Debugging</t>
        </is>
      </c>
    </row>
    <row r="21" ht="15.75" customHeight="1" s="279">
      <c r="B21" s="297" t="inlineStr">
        <is>
          <t>Which will be faster to catch the mistake? Printing or Debugger</t>
        </is>
      </c>
    </row>
    <row r="22" ht="15.75" customHeight="1" s="279">
      <c r="B22" s="297" t="inlineStr">
        <is>
          <t>Don't know how to use a debugger? Learn this skill</t>
        </is>
      </c>
    </row>
    <row r="23" ht="30.75" customHeight="1" s="279">
      <c r="B23" s="297" t="inlineStr">
        <is>
          <t>Needed more than 10 minutes to solve bugs? Something is wrong. Why need all this time? How to solve this issue?</t>
        </is>
      </c>
    </row>
    <row r="25" ht="15.75" customHeight="1" s="279">
      <c r="A25" s="325" t="inlineStr">
        <is>
          <t>Code is ready!</t>
        </is>
      </c>
    </row>
    <row r="26" ht="30.75" customHeight="1" s="279">
      <c r="B26" s="297" t="inlineStr">
        <is>
          <t>Just submit and see if passed? Wrong. Behave as if you are in the real contest. Are you almost sure it will be AC? If yes, submit</t>
        </is>
      </c>
    </row>
    <row r="27" ht="30.75" customHeight="1" s="279">
      <c r="B27" s="297" t="inlineStr">
        <is>
          <t>TRAIN offline as if you are in a real contest. This shortens the gap between training and the real contest</t>
        </is>
      </c>
    </row>
    <row r="29" ht="15.75" customHeight="1" s="279">
      <c r="A29" s="325" t="inlineStr">
        <is>
          <t>Code Failed :(</t>
        </is>
      </c>
    </row>
    <row r="30" ht="15.75" customHeight="1" s="279">
      <c r="B30" s="297" t="inlineStr">
        <is>
          <t>Are you nervous / frustrated? Yes =&gt; Wrong behavior. Take it easy</t>
        </is>
      </c>
    </row>
    <row r="31" ht="30.75" customHeight="1" s="279">
      <c r="B31" s="297" t="inlineStr">
        <is>
          <t>Rush to test cases? Yes =&gt; Wrong, revise idea, then code, then trace more samples. Try for 15 minutes or more first</t>
        </is>
      </c>
    </row>
    <row r="33" ht="15.75" customHeight="1" s="279">
      <c r="A33" s="325" t="inlineStr">
        <is>
          <t>Got it AC</t>
        </is>
      </c>
    </row>
    <row r="34" ht="15.75" customHeight="1" s="279">
      <c r="B34" s="297" t="inlineStr">
        <is>
          <t>Read and Understood editorial solutions?</t>
        </is>
      </c>
    </row>
    <row r="35" ht="15.75" customHeight="1" s="279">
      <c r="B35" s="297" t="inlineStr">
        <is>
          <t xml:space="preserve">Checked 1-3 other AC solutions? </t>
        </is>
      </c>
    </row>
    <row r="36" ht="15.75" customHeight="1" s="279">
      <c r="B36" s="297" t="inlineStr">
        <is>
          <t>Tried to write a much shorter version of your code?</t>
        </is>
      </c>
    </row>
    <row r="37" ht="15.75" customHeight="1" s="279">
      <c r="B37" s="297" t="inlineStr">
        <is>
          <t>Tried to write a faster coder (better complexity)?</t>
        </is>
      </c>
    </row>
    <row r="39" ht="15.75" customHeight="1" s="279">
      <c r="A39" s="325" t="inlineStr">
        <is>
          <t>Speed</t>
        </is>
      </c>
    </row>
    <row r="40" ht="30.75" customHeight="1" s="279">
      <c r="B40" s="297" t="inlineStr">
        <is>
          <t>How much time do you need in Div2-A/Div2-B? Target (5, 10) minutes for semiseniors, (3, 6) for seniors</t>
        </is>
      </c>
    </row>
    <row r="41" ht="15.75" customHeight="1" s="279">
      <c r="B41" s="297" t="inlineStr">
        <is>
          <t>Not that fast? You need regular speed training on easy problems</t>
        </is>
      </c>
    </row>
    <row r="43" ht="15.75" customHeight="1" s="279">
      <c r="A43" s="325" t="inlineStr">
        <is>
          <t>Weakly contests</t>
        </is>
      </c>
    </row>
    <row r="44" ht="30.75" customHeight="1" s="279">
      <c r="B44" s="297" t="inlineStr">
        <is>
          <t>Do you participate in 1-2 contests per week at least? If no, this is bad. Offline training != Online contests</t>
        </is>
      </c>
    </row>
    <row r="45" ht="30.75" customHeight="1" s="279">
      <c r="B45" s="297" t="inlineStr">
        <is>
          <t>You need to train yourself to behave in online contests similar to offline training. This is an important skill.</t>
        </is>
      </c>
    </row>
    <row r="47" ht="15.75" customHeight="1" s="279">
      <c r="A47" s="325" t="inlineStr">
        <is>
          <t>Sheet stats</t>
        </is>
      </c>
    </row>
    <row r="48" ht="30.75" customHeight="1" s="279">
      <c r="B48" s="297" t="inlineStr">
        <is>
          <t>Recorded them? Yes: read your problem's row. Where do you consume the most of the time? These are your weak skills</t>
        </is>
      </c>
    </row>
    <row r="49" ht="15.75" customHeight="1" s="279">
      <c r="B49" s="297" t="inlineStr">
        <is>
          <t>No, I don't record! =&gt; How will you know your weak points?!</t>
        </is>
      </c>
    </row>
    <row r="50" ht="30.75" customHeight="1" s="279">
      <c r="B50" s="297" t="inlineStr">
        <is>
          <t>Can't record timing as I am mixing thinking with coding? =&gt; Wrong behavior. get done with thinking, then move to coding. Don't cycle</t>
        </is>
      </c>
    </row>
    <row r="52" ht="15.75" customHeight="1" s="279">
      <c r="A52" s="325" t="inlineStr">
        <is>
          <t>Training Time</t>
        </is>
      </c>
    </row>
    <row r="53" ht="15.75" customHeight="1" s="279">
      <c r="B53" s="297" t="inlineStr">
        <is>
          <t>Is it regular and scheduled? Yes =&gt; you will have regular improvements.</t>
        </is>
      </c>
    </row>
    <row r="54" ht="15.75" customHeight="1" s="279">
      <c r="B54" s="297" t="inlineStr">
        <is>
          <t>Your plan was to train X hours, Did so? If no, why?</t>
        </is>
      </c>
    </row>
    <row r="55" ht="15.75" customHeight="1" s="279">
      <c r="B55" s="297" t="inlineStr">
        <is>
          <t>Without regular and continous training, your mind might not improve well</t>
        </is>
      </c>
    </row>
    <row r="57" ht="15.75" customHeight="1" s="279">
      <c r="A57" s="325" t="inlineStr">
        <is>
          <t>Training with?</t>
        </is>
      </c>
    </row>
    <row r="58" ht="15.75" customHeight="1" s="279">
      <c r="B58" s="297" t="inlineStr">
        <is>
          <t>Yourself only? You may feel bored. If can collaborate with others = longer commitment</t>
        </is>
      </c>
    </row>
    <row r="60" ht="30.75" customHeight="1" s="279">
      <c r="A60" s="325" t="inlineStr">
        <is>
          <t>Psychological  issues</t>
        </is>
      </c>
    </row>
    <row r="61" ht="15.75" customHeight="1" s="279">
      <c r="B61" s="297" t="inlineStr">
        <is>
          <t>Do you keep comparing yourself with others?</t>
        </is>
      </c>
    </row>
    <row r="62" ht="30.75" customHeight="1" s="279">
      <c r="B62" s="297" t="inlineStr">
        <is>
          <t>Do you have negative feelings? Like I am stupid..I am hopeless...I will never have a comparable level...?</t>
        </is>
      </c>
    </row>
    <row r="63" ht="15.75" customHeight="1" s="279">
      <c r="B63" s="297" t="inlineStr">
        <is>
          <t>Do you think of your image/appearance if failed in online contests so avoid contests?</t>
        </is>
      </c>
    </row>
    <row r="64" ht="30.75" customHeight="1" s="279">
      <c r="B64" s="297" t="inlineStr">
        <is>
          <t>Do you use another account with a weird name to train so that people don't know about your progress/failure?</t>
        </is>
      </c>
    </row>
    <row r="65" ht="15.75" customHeight="1" s="279">
      <c r="B65" s="297" t="inlineStr">
        <is>
          <t>Do you wish your friends fail in the contest? or get annoyed with their better performance?</t>
        </is>
      </c>
    </row>
    <row r="66" ht="15.75" customHeight="1" s="279">
      <c r="B66" s="297" t="inlineStr">
        <is>
          <t>Do you avoid teaching your friends something or give no support to remain better than them?</t>
        </is>
      </c>
    </row>
    <row r="67" ht="15.75" customHeight="1" s="279">
      <c r="B67" s="297" t="inlineStr">
        <is>
          <t>Do you feel bored/frustrated as no/weak community in your college?</t>
        </is>
      </c>
    </row>
    <row r="68" ht="15.75" customHeight="1" s="279">
      <c r="B68" s="297" t="inlineStr">
        <is>
          <t>Do you keep training day and night without breaks? No socialization at all?</t>
        </is>
      </c>
    </row>
    <row r="69" ht="15.75" customHeight="1" s="279">
      <c r="B69" s="297" t="inlineStr">
        <is>
          <t>Do you hate specific topics and avoid them (probability/geometry)?</t>
        </is>
      </c>
    </row>
    <row r="70" ht="15.75" customHeight="1" s="279">
      <c r="B70" s="297" t="inlineStr">
        <is>
          <t>‘Should I stop’ Dilemma? Keep thinking is it worth vs a waste of time?</t>
        </is>
      </c>
    </row>
    <row r="71" ht="15.75" customHeight="1" s="279">
      <c r="B71" s="304" t="n"/>
    </row>
    <row r="72" ht="15.75" customHeight="1" s="279">
      <c r="B72" s="538" t="inlineStr">
        <is>
          <t>If any of the above questions is YES, you probably have a problem and need to find a solution to it.</t>
        </is>
      </c>
    </row>
  </sheetData>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A8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5.12890625" defaultRowHeight="15.75" zeroHeight="0" outlineLevelRow="0"/>
  <cols>
    <col width="146.5" customWidth="1" style="278" min="1" max="1"/>
  </cols>
  <sheetData>
    <row r="1" ht="15.75" customHeight="1" s="279">
      <c r="A1" s="325" t="inlineStr">
        <is>
          <t>Q) What is the sheet requirements? Should I study algorithms and Data structures?</t>
        </is>
      </c>
    </row>
    <row r="2" ht="75.75" customHeight="1" s="279">
      <c r="A2" s="297" t="inlineStr">
        <is>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is>
      </c>
    </row>
    <row r="4" ht="15.75" customHeight="1" s="279">
      <c r="A4" s="326" t="inlineStr">
        <is>
          <t>Q) How much time do I need to finish the sheet?</t>
        </is>
      </c>
    </row>
    <row r="5" ht="213.75" customHeight="1" s="279">
      <c r="A5" s="301" t="inlineStr">
        <is>
          <t>-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
215*20+93*30+270*40+178*60+127*75+53*90 = ~700 hours (say max 900 hours). For a pratical limit, say you need 1300 hours
- https://ask.fm/mostafasaad87/answers/144907000290    [adjust to whatever fits with you]</t>
        </is>
      </c>
    </row>
    <row r="6" ht="15.75" customHeight="1" s="279">
      <c r="A6" s="326" t="inlineStr">
        <is>
          <t>Q) How many problems to solve per day?</t>
        </is>
      </c>
    </row>
    <row r="7" ht="15.75" customHeight="1" s="279">
      <c r="A7" s="297" t="inlineStr">
        <is>
          <t>- I prefer you to decide the number of hours weekly and cover them. Don't use the problems count as a measure</t>
        </is>
      </c>
    </row>
    <row r="9" ht="15.75" customHeight="1" s="279">
      <c r="A9" s="325" t="inlineStr">
        <is>
          <t>Q) When should I give up and check the editorials and solutions?</t>
        </is>
      </c>
    </row>
    <row r="10" ht="15.75" customHeight="1" s="279">
      <c r="A10" s="327" t="inlineStr">
        <is>
          <t>https://ask.fm/mostafasaad87/answers/144907000290</t>
        </is>
      </c>
    </row>
    <row r="12" ht="15.75" customHeight="1" s="279">
      <c r="A12" s="325" t="inlineStr">
        <is>
          <t>Q) Got WA, should I check directly the test cases?</t>
        </is>
      </c>
    </row>
    <row r="13" ht="75.75" customHeight="1" s="279">
      <c r="A13" s="297" t="inlineStr">
        <is>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is>
      </c>
    </row>
    <row r="15" ht="15.75" customHeight="1" s="279">
      <c r="A15" s="325" t="inlineStr">
        <is>
          <t>Q) What is the debug time?</t>
        </is>
      </c>
    </row>
    <row r="16" ht="75.75" customHeight="1" s="279">
      <c r="A16" s="297" t="inlineStr">
        <is>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is>
      </c>
    </row>
    <row r="18" ht="15.75" customHeight="1" s="279">
      <c r="A18" s="325" t="inlineStr">
        <is>
          <t>Q) Should I solve every problem?</t>
        </is>
      </c>
    </row>
    <row r="19" ht="30.75" customHeight="1" s="279">
      <c r="A19" s="297" t="inlineStr">
        <is>
          <t>- Generally, preferred, but If you think certain level is easy (e.g. solve it within 15 minutes), then jump a block and so on
- This jumping might be for codeforces problems only</t>
        </is>
      </c>
    </row>
    <row r="21" ht="15.75" customHeight="1" s="279">
      <c r="A21" s="325" t="inlineStr">
        <is>
          <t>Q) About UVA</t>
        </is>
      </c>
    </row>
    <row r="22" ht="225" customHeight="1" s="279">
      <c r="A22" s="297" t="inlineStr">
        <is>
          <t>-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udebug to find test cases of some problems. E.g. https://www.udebug.com/UVa/10110
- 3) UVA used to have very nice forum. Seems not active
- 4) Get AC solution and use it to generate test cases, if easy</t>
        </is>
      </c>
    </row>
    <row r="24" ht="15.75" customHeight="1" s="279">
      <c r="A24" s="325" t="inlineStr">
        <is>
          <t>Q) Is using C# ok?</t>
        </is>
      </c>
    </row>
    <row r="25" ht="75.75" customHeight="1" s="279">
      <c r="A25" s="297" t="inlineStr">
        <is>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is>
      </c>
    </row>
    <row r="27" ht="15.75" customHeight="1" s="279">
      <c r="A27" s="328" t="inlineStr">
        <is>
          <t>Q) When I watch a video, should I solve the problems in its info section?</t>
        </is>
      </c>
    </row>
    <row r="28" ht="23.25" customHeight="1" s="279">
      <c r="A28" s="301" t="inlineStr">
        <is>
          <t>- No, sheet has subset of these problems already in specific order
- Sheet is self-contained</t>
        </is>
      </c>
    </row>
    <row r="29" ht="15.75" customHeight="1" s="279">
      <c r="A29" s="295" t="n"/>
    </row>
    <row r="30" ht="15.75" customHeight="1" s="279">
      <c r="A30" s="328" t="inlineStr">
        <is>
          <t>Q) I watched the video, but it is hard, any tips?</t>
        </is>
      </c>
    </row>
    <row r="31" ht="60.75" customHeight="1" s="279">
      <c r="A31" s="297" t="inlineStr">
        <is>
          <t>- Algorithms are hard, learn to struggle
- Watch the video 2-3 times, try to rewrite its code by yourself
- Still can't get it? Google for more materials from the web (ppt/pdf/videos) and try to learn
- In worst case, leave it for now and return to it later</t>
        </is>
      </c>
    </row>
    <row r="33" ht="15.75" customHeight="1" s="279">
      <c r="A33" s="328" t="inlineStr">
        <is>
          <t>Q) How does your sheet prepare for ECPC/ACPC?</t>
        </is>
      </c>
    </row>
    <row r="34" ht="359.25" customHeight="1" s="279">
      <c r="A34" s="297" t="inlineStr">
        <is>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is>
      </c>
    </row>
    <row r="36" ht="30.75" customHeight="1" s="279">
      <c r="A36" s="297" t="inlineStr">
        <is>
          <t>- Finish up to CF-C2 sheet, then study from the "Cracking the Coding Interview: 150 Programming Questions and Solutions" book
- Also watch: https://www.youtube.com/watch?v=39vqarATPyM</t>
        </is>
      </c>
    </row>
    <row r="38" ht="15.75" customHeight="1" s="279">
      <c r="A38" s="328" t="inlineStr">
        <is>
          <t>Q) How different is your sheet versus Ahmed Aly Ladders?</t>
        </is>
      </c>
    </row>
    <row r="39" ht="135.75" customHeight="1" s="279">
      <c r="A39" s="297" t="inlineStr">
        <is>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is>
      </c>
    </row>
    <row r="41" ht="15.75" customHeight="1" s="279">
      <c r="A41" s="328" t="inlineStr">
        <is>
          <t>Q) How did you select problems for the sheet?</t>
        </is>
      </c>
    </row>
    <row r="42" ht="90.75" customHeight="1" s="279">
      <c r="A42" s="297" t="inlineStr">
        <is>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is>
      </c>
    </row>
    <row r="45" ht="15.75" customHeight="1" s="279">
      <c r="A45" s="328" t="inlineStr">
        <is>
          <t>Q) can't access the sheet in edit mode?</t>
        </is>
      </c>
    </row>
    <row r="46" ht="210" customHeight="1" s="279">
      <c r="A46" s="297" t="inlineStr">
        <is>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is>
      </c>
    </row>
    <row r="48" ht="15.75" customHeight="1" s="279">
      <c r="A48" s="328" t="inlineStr">
        <is>
          <t>Q) What to write in the category column?</t>
        </is>
      </c>
    </row>
    <row r="49" ht="135.75" customHeight="1" s="279">
      <c r="A49" s="297" t="inlineStr">
        <is>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is>
      </c>
    </row>
    <row r="51" ht="15.75" customHeight="1" s="279">
      <c r="A51" s="328" t="inlineStr">
        <is>
          <t>Q) Are problems really sorted based on easiness? I don't feel so.</t>
        </is>
      </c>
    </row>
    <row r="52" ht="120.75" customHeight="1" s="279">
      <c r="A52" s="297" t="inlineStr">
        <is>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is>
      </c>
    </row>
    <row r="54" ht="15.75" customHeight="1" s="279">
      <c r="A54" s="328" t="inlineStr">
        <is>
          <t>Q) What are these problems colors?</t>
        </is>
      </c>
    </row>
    <row r="55" ht="15.75" customHeight="1" s="279">
      <c r="A55" s="297" t="inlineStr">
        <is>
          <t>See "Problems Colors" notes in info page</t>
        </is>
      </c>
    </row>
    <row r="57" ht="15.75" customHeight="1" s="279">
      <c r="A57" s="328" t="inlineStr">
        <is>
          <t>Q) Are the problems sorted?</t>
        </is>
      </c>
    </row>
    <row r="58" ht="60.75" customHeight="1" s="279">
      <c r="A58" s="297" t="inlineStr">
        <is>
          <t xml:space="preserve">Yes, but this is tricky as sorting is subjective. 
That is imagine 10 prblems given for 100 people to order based on its level, people will arrange in different ways based on theie experience
So if you felt they are not sorted, just keep going </t>
        </is>
      </c>
    </row>
    <row r="60" ht="15.75" customHeight="1" s="279">
      <c r="A60" s="328" t="inlineStr">
        <is>
          <t>Q) Why problem-solving is that important?</t>
        </is>
      </c>
    </row>
    <row r="61" ht="15.75" customHeight="1" s="279">
      <c r="A61" s="297" t="inlineStr">
        <is>
          <t>See the first 2 videos here: https://www.youtube.com/playlist?list=PLPt2dINI2MIaNcU070HIAO8JWYBcafuyG</t>
        </is>
      </c>
    </row>
    <row r="63" ht="15.75" customHeight="1" s="279">
      <c r="A63" s="328" t="inlineStr">
        <is>
          <t>Q) I feel bored when solving problems compare to doing projects?</t>
        </is>
      </c>
    </row>
    <row r="64" ht="15.75" customHeight="1" s="279">
      <c r="A64" s="327" t="inlineStr">
        <is>
          <t>https://ask.fm/mostafasaad87/answers/145333554402</t>
        </is>
      </c>
    </row>
    <row r="66" ht="15.75" customHeight="1" s="279">
      <c r="A66" s="328" t="inlineStr">
        <is>
          <t>Q) I would like to freeze my study for 1-2 years to be good in problem-solving?</t>
        </is>
      </c>
    </row>
    <row r="67" ht="30.75" customHeight="1" s="279">
      <c r="A67" s="297" t="inlineStr">
        <is>
          <t>I never liked that. Graduate on time. In your free times and vacations do more problem solving
Relevant: https://ask.fm/mostafasaad87/answers/145151822818</t>
        </is>
      </c>
    </row>
    <row r="69" ht="15.75" customHeight="1" s="279">
      <c r="A69" s="326" t="inlineStr">
        <is>
          <t>Q) Topics based-training vs Blind Order</t>
        </is>
      </c>
    </row>
    <row r="70" ht="255" customHeight="1" s="279">
      <c r="A70" s="297" t="inlineStr">
        <is>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is>
      </c>
    </row>
    <row r="72" ht="15.75" customHeight="1" s="279">
      <c r="A72" s="326" t="inlineStr">
        <is>
          <t>Q) Who FInished my sheet? Their levels?</t>
        </is>
      </c>
    </row>
    <row r="73" ht="15.75" customHeight="1" s="279">
      <c r="A73" s="327" t="inlineStr">
        <is>
          <t>https://ask.fm/mostafasaad87/answers/150802497762</t>
        </is>
      </c>
    </row>
    <row r="75" ht="15.75" customHeight="1" s="279">
      <c r="A75" s="326" t="inlineStr">
        <is>
          <t>Q) How to share my sheet progress with you?</t>
        </is>
      </c>
    </row>
    <row r="76" ht="15.75" customHeight="1" s="279">
      <c r="A76" s="327" t="inlineStr">
        <is>
          <t>https://ask.fm/mostafasaad87/answers/148552940002</t>
        </is>
      </c>
    </row>
    <row r="78" ht="15.75" customHeight="1" s="279">
      <c r="A78" s="326" t="inlineStr">
        <is>
          <t>Q) What is after the sheet?</t>
        </is>
      </c>
    </row>
    <row r="79" ht="45.75" customHeight="1" s="279">
      <c r="A79" s="297" t="inlineStr">
        <is>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is>
      </c>
    </row>
    <row r="81" ht="15.75" customHeight="1" s="279">
      <c r="A81" s="326" t="inlineStr">
        <is>
          <t>Q) Is it normal to re-solve a problem again and do same mistakes and take same time?</t>
        </is>
      </c>
    </row>
    <row r="82" ht="15.75" customHeight="1" s="279">
      <c r="A82" s="297" t="inlineStr">
        <is>
          <t>Yes, happens a lot</t>
        </is>
      </c>
    </row>
    <row r="84" ht="15.75" customHeight="1" s="279">
      <c r="A84" s="326" t="inlineStr">
        <is>
          <t>Q) Should I re-solve some of what I solved agian?</t>
        </is>
      </c>
    </row>
    <row r="85" ht="15.75" customHeight="1" s="279">
      <c r="A85" s="297" t="inlineStr">
        <is>
          <t>No, always solve new problems. Revise your notes on lessons you learned from past problems</t>
        </is>
      </c>
    </row>
  </sheetData>
  <hyperlinks>
    <hyperlink xmlns:r="http://schemas.openxmlformats.org/officeDocument/2006/relationships" ref="A10" display="https://ask.fm/mostafasaad87/answers/144907000290" r:id="rId1"/>
    <hyperlink xmlns:r="http://schemas.openxmlformats.org/officeDocument/2006/relationships" ref="A64" display="https://ask.fm/mostafasaad87/answers/145333554402" r:id="rId2"/>
    <hyperlink xmlns:r="http://schemas.openxmlformats.org/officeDocument/2006/relationships" ref="A73" display="https://ask.fm/mostafasaad87/answers/150802497762" r:id="rId3"/>
    <hyperlink xmlns:r="http://schemas.openxmlformats.org/officeDocument/2006/relationships" ref="A76" display="https://ask.fm/mostafasaad87/answers/148552940002" r:id="rId4"/>
  </hyperlinks>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XFD23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55" activePane="bottomRight" state="frozen"/>
      <selection pane="topLeft" activeCell="A1" activeCellId="0" sqref="A1"/>
      <selection pane="topRight" activeCell="C1" activeCellId="0" sqref="C1"/>
      <selection pane="bottomLeft" activeCell="A55" activeCellId="0" sqref="A55"/>
      <selection pane="bottomRight" activeCell="B76" activeCellId="0" sqref="B76"/>
    </sheetView>
  </sheetViews>
  <sheetFormatPr baseColWidth="8" defaultColWidth="15.12890625" defaultRowHeight="15.75" zeroHeight="0" outlineLevelRow="0"/>
  <cols>
    <col width="11.75" customWidth="1" style="329" min="1" max="1"/>
    <col width="13.38" customWidth="1" style="329" min="2" max="2"/>
    <col width="6" customWidth="1" style="329" min="3" max="3"/>
    <col width="7.11" customWidth="1" style="329" min="4" max="4"/>
    <col width="12.13" customWidth="1" style="329" min="5" max="5"/>
    <col width="10.13" customWidth="1" style="329" min="6" max="6"/>
    <col width="8.75" customWidth="1" style="329" min="7" max="7"/>
    <col width="10.25" customWidth="1" style="329" min="8" max="8"/>
    <col width="9.380000000000001" customWidth="1" style="329" min="9" max="9"/>
    <col width="8.75" customWidth="1" style="329" min="10" max="11"/>
    <col width="11" customWidth="1" style="329" min="12" max="12"/>
    <col width="35.89" customWidth="1" style="329" min="13" max="13"/>
    <col width="65.5" customWidth="1" style="329" min="14" max="20"/>
    <col width="15.13" customWidth="1" style="329" min="21" max="16384"/>
  </cols>
  <sheetData>
    <row r="1" ht="34.5" customHeight="1" s="279">
      <c r="A1" s="330" t="n"/>
      <c r="B1" s="331" t="inlineStr">
        <is>
          <t>Problem Code</t>
        </is>
      </c>
      <c r="C1" s="332" t="inlineStr">
        <is>
          <t>Status</t>
        </is>
      </c>
      <c r="D1" s="332" t="inlineStr">
        <is>
          <t>Submit Count</t>
        </is>
      </c>
      <c r="E1" s="332" t="inlineStr">
        <is>
          <t>Reading Time(m)</t>
        </is>
      </c>
      <c r="F1" s="332" t="inlineStr">
        <is>
          <t>Thinking Time(m)</t>
        </is>
      </c>
      <c r="G1" s="332" t="inlineStr">
        <is>
          <t>Coding Time(m)</t>
        </is>
      </c>
      <c r="H1" s="332" t="inlineStr">
        <is>
          <t>Debug Time(m)</t>
        </is>
      </c>
      <c r="I1" s="332" t="inlineStr">
        <is>
          <t>Total Time(m)</t>
        </is>
      </c>
      <c r="J1" s="332" t="inlineStr">
        <is>
          <t>Problem Level /10</t>
        </is>
      </c>
      <c r="K1" s="332" t="inlineStr">
        <is>
          <t>By yourself?</t>
        </is>
      </c>
      <c r="L1" s="332" t="inlineStr">
        <is>
          <t>Category</t>
        </is>
      </c>
      <c r="M1" s="333" t="inlineStr">
        <is>
          <t>1-2 line Comments
About your approach</t>
        </is>
      </c>
      <c r="N1" s="334" t="n"/>
      <c r="O1" s="334" t="n"/>
      <c r="P1" s="334" t="n"/>
      <c r="Q1" s="334" t="n"/>
      <c r="R1" s="334" t="n"/>
      <c r="S1" s="334" t="n"/>
      <c r="T1" s="334" t="n"/>
    </row>
    <row r="2" ht="23.25" customHeight="1" s="279">
      <c r="A2" s="335" t="n"/>
      <c r="B2" s="336" t="inlineStr">
        <is>
          <t>AC Averages =&gt;</t>
        </is>
      </c>
      <c r="C2" s="337">
        <f>COUNTIF(C3:C10502, "AC")</f>
        <v/>
      </c>
      <c r="D2" s="337">
        <f>ROUND(SUMPRODUCT(D3:D10502,INT(eq(C3:C10502, "AC")))/MAX(1, C2),1)</f>
        <v/>
      </c>
      <c r="E2" s="337">
        <f>ROUND(SUMPRODUCT(E3:E10524,INT(eq(C3:C10524, "AC")))/MAX(1, C2),0)</f>
        <v/>
      </c>
      <c r="F2" s="337">
        <f>ROUND(SUMPRODUCT(F3:F10527,INT(eq(C3:C10527, "AC")))/MAX(1, C2),0)</f>
        <v/>
      </c>
      <c r="G2" s="337">
        <f>ROUND(SUMPRODUCT(G3:G10527,INT(eq(C3:C10527, "AC")))/MAX(1, C2),0)</f>
        <v/>
      </c>
      <c r="H2" s="337">
        <f>ROUND(SUMPRODUCT(H3:H10527,INT(eq(C3:C10527, "AC")))/MAX(1, C2),0)</f>
        <v/>
      </c>
      <c r="I2" s="337">
        <f>ROUND(SUMPRODUCT(I3:I10499,INT(eq(C3:C10499, "AC")))/MAX(1, C2),0)</f>
        <v/>
      </c>
      <c r="J2" s="337">
        <f>ROUND(SUMPRODUCT(J3:J10497,INT(eq(C3:C10497, "AC")))/MAX(1, C2),1)</f>
        <v/>
      </c>
      <c r="K2" s="337">
        <f>SUMPRODUCT(eq(K3:K10502, "YES"),INT(eq(C3:C10527, "AC")))</f>
        <v/>
      </c>
      <c r="L2" s="338">
        <f>IFERROR(__xludf.dummyfunction("COUNTA(FILTER(C3:C9994, NOT(REGEXMATCH(C3:C9994, ""AC""))))"),11)</f>
        <v/>
      </c>
      <c r="M2" s="339">
        <f>IFERROR(__xludf.dummyfunction("COUNTA(FILTER(C3:C9988, NOT(REGEXMATCH(C3:C9988, ""AC""))))"),11)</f>
        <v/>
      </c>
      <c r="N2" s="339" t="n"/>
      <c r="O2" s="339" t="n"/>
      <c r="P2" s="339" t="n"/>
      <c r="Q2" s="339" t="n"/>
      <c r="R2" s="339" t="n"/>
      <c r="S2" s="339" t="n"/>
      <c r="T2" s="339" t="n"/>
    </row>
    <row r="3" ht="15.75" customHeight="1" s="279">
      <c r="A3" s="340" t="n"/>
      <c r="B3" s="341" t="inlineStr">
        <is>
          <t>CF1823-D2-A</t>
        </is>
      </c>
      <c r="C3" s="336" t="inlineStr">
        <is>
          <t>AC</t>
        </is>
      </c>
      <c r="D3" s="336" t="n">
        <v>1</v>
      </c>
      <c r="E3" s="336" t="n">
        <v>1</v>
      </c>
      <c r="F3" s="336" t="n">
        <v>1</v>
      </c>
      <c r="G3" s="336" t="n">
        <v>3</v>
      </c>
      <c r="H3" s="336" t="n"/>
      <c r="I3" s="336">
        <f>SUM(E3:H3)</f>
        <v/>
      </c>
      <c r="J3" s="336" t="n">
        <v>1</v>
      </c>
      <c r="K3" s="336" t="inlineStr">
        <is>
          <t>yes</t>
        </is>
      </c>
      <c r="L3" s="342" t="inlineStr">
        <is>
          <t>adhoc</t>
        </is>
      </c>
      <c r="M3" s="343" t="n"/>
      <c r="N3" s="343" t="n"/>
      <c r="O3" s="343" t="n"/>
      <c r="P3" s="343" t="n"/>
      <c r="Q3" s="343" t="n"/>
      <c r="R3" s="343" t="n"/>
      <c r="S3" s="343" t="n"/>
      <c r="T3" s="343" t="n"/>
    </row>
    <row r="4" ht="15.75" customHeight="1" s="279">
      <c r="A4" s="340" t="n"/>
      <c r="B4" s="341" t="inlineStr">
        <is>
          <t>CF1823-D2-B</t>
        </is>
      </c>
      <c r="C4" s="336" t="inlineStr">
        <is>
          <t>AC</t>
        </is>
      </c>
      <c r="D4" s="336" t="n">
        <v>2</v>
      </c>
      <c r="E4" s="336" t="n">
        <v>1</v>
      </c>
      <c r="F4" s="336" t="n">
        <v>10</v>
      </c>
      <c r="G4" s="336" t="n">
        <v>3</v>
      </c>
      <c r="H4" s="336" t="n">
        <v>52</v>
      </c>
      <c r="I4" s="336">
        <f>SUM(E4:H4)</f>
        <v/>
      </c>
      <c r="J4" s="336" t="n">
        <v>2</v>
      </c>
      <c r="K4" s="336" t="inlineStr">
        <is>
          <t>yes</t>
        </is>
      </c>
      <c r="L4" s="344" t="inlineStr">
        <is>
          <t>math</t>
        </is>
      </c>
      <c r="M4" s="345" t="n"/>
      <c r="N4" s="345" t="n"/>
      <c r="O4" s="345" t="n"/>
      <c r="P4" s="345" t="n"/>
      <c r="Q4" s="345" t="n"/>
      <c r="R4" s="345" t="n"/>
      <c r="S4" s="345" t="n"/>
      <c r="T4" s="345" t="n"/>
    </row>
    <row r="5" ht="23.25" customHeight="1" s="279">
      <c r="A5" s="340" t="n"/>
      <c r="B5" s="341" t="inlineStr">
        <is>
          <t>CF1918-D2-A</t>
        </is>
      </c>
      <c r="C5" s="336" t="inlineStr">
        <is>
          <t>AC</t>
        </is>
      </c>
      <c r="D5" s="336" t="n">
        <v>1</v>
      </c>
      <c r="E5" s="336" t="n">
        <v>3.5</v>
      </c>
      <c r="F5" s="336" t="n">
        <v>30</v>
      </c>
      <c r="G5" s="336" t="n">
        <v>3</v>
      </c>
      <c r="H5" s="336" t="n"/>
      <c r="I5" s="336">
        <f>SUM(E5:H5)</f>
        <v/>
      </c>
      <c r="J5" s="336" t="n">
        <v>1</v>
      </c>
      <c r="K5" s="336" t="inlineStr">
        <is>
          <t>yes</t>
        </is>
      </c>
      <c r="L5" s="336" t="inlineStr">
        <is>
          <t>math,adhoc</t>
        </is>
      </c>
      <c r="M5" s="346" t="inlineStr">
        <is>
          <t>next time read problem well ,you stupid</t>
        </is>
      </c>
      <c r="N5" s="347" t="n"/>
      <c r="O5" s="347" t="n"/>
      <c r="P5" s="347" t="n"/>
      <c r="Q5" s="347" t="n"/>
      <c r="R5" s="347" t="n"/>
      <c r="S5" s="347" t="n"/>
      <c r="T5" s="347" t="n"/>
    </row>
    <row r="6" ht="68.25" customHeight="1" s="279">
      <c r="A6" s="340" t="n"/>
      <c r="B6" s="341" t="inlineStr">
        <is>
          <t>CF1918-D2-B</t>
        </is>
      </c>
      <c r="C6" s="336" t="inlineStr">
        <is>
          <t>AC</t>
        </is>
      </c>
      <c r="D6" s="336" t="n">
        <v>2</v>
      </c>
      <c r="E6" s="336" t="n">
        <v>5</v>
      </c>
      <c r="F6" s="336" t="n">
        <v>8</v>
      </c>
      <c r="G6" s="336" t="n">
        <v>8</v>
      </c>
      <c r="H6" s="336" t="n"/>
      <c r="I6" s="336">
        <f>SUM(E6:H6)</f>
        <v/>
      </c>
      <c r="J6" s="336" t="n"/>
      <c r="K6" s="336" t="inlineStr">
        <is>
          <t>yes</t>
        </is>
      </c>
      <c r="L6" s="344" t="inlineStr">
        <is>
          <t>adhoc</t>
        </is>
      </c>
      <c r="M6" s="346" t="inlineStr">
        <is>
          <t xml:space="preserve">Remember your tricks old man and dont ever use insert sort again always use std::sort()                                                                                     and vector of pairs is always a good trick keep it in your mind </t>
        </is>
      </c>
      <c r="N6" s="348" t="n"/>
      <c r="O6" s="348" t="n"/>
      <c r="P6" s="348" t="n"/>
      <c r="Q6" s="348" t="n"/>
      <c r="R6" s="348" t="n"/>
      <c r="S6" s="348" t="n"/>
      <c r="T6" s="348" t="n"/>
    </row>
    <row r="7" ht="15.75" customHeight="1" s="279">
      <c r="A7" s="340" t="n"/>
      <c r="B7" s="341" t="inlineStr">
        <is>
          <t>CF1918-D2-C</t>
        </is>
      </c>
      <c r="C7" s="336" t="inlineStr">
        <is>
          <t>CS</t>
        </is>
      </c>
      <c r="D7" s="336" t="n">
        <v>0</v>
      </c>
      <c r="E7" s="336" t="n">
        <v>1</v>
      </c>
      <c r="F7" s="336" t="n">
        <v>40</v>
      </c>
      <c r="G7" s="336" t="n"/>
      <c r="H7" s="336" t="n"/>
      <c r="I7" s="336">
        <f>SUM(E7:H7)</f>
        <v/>
      </c>
      <c r="J7" s="336" t="n"/>
      <c r="K7" s="336" t="n"/>
      <c r="L7" s="336" t="inlineStr">
        <is>
          <t>bitwise</t>
        </is>
      </c>
      <c r="M7" s="349" t="inlineStr">
        <is>
          <t xml:space="preserve">study your bit </t>
        </is>
      </c>
      <c r="N7" s="350" t="n"/>
      <c r="O7" s="350" t="n"/>
      <c r="P7" s="350" t="n"/>
      <c r="Q7" s="350" t="n"/>
      <c r="R7" s="350" t="n"/>
      <c r="S7" s="350" t="n"/>
      <c r="T7" s="350" t="n"/>
    </row>
    <row r="8" ht="23.25" customHeight="1" s="279">
      <c r="A8" s="351" t="n"/>
      <c r="B8" s="352" t="inlineStr">
        <is>
          <t>CF1927-D3-A</t>
        </is>
      </c>
      <c r="C8" s="336" t="inlineStr">
        <is>
          <t>AC</t>
        </is>
      </c>
      <c r="D8" s="336" t="n">
        <v>1</v>
      </c>
      <c r="E8" s="336" t="n">
        <v>1</v>
      </c>
      <c r="F8" s="336" t="n">
        <v>1</v>
      </c>
      <c r="G8" s="336" t="n">
        <v>2</v>
      </c>
      <c r="H8" s="336" t="n"/>
      <c r="I8" s="336">
        <f>SUM(E8:H8)</f>
        <v/>
      </c>
      <c r="J8" s="353" t="n"/>
      <c r="K8" s="336" t="inlineStr">
        <is>
          <t>yes</t>
        </is>
      </c>
      <c r="L8" s="336" t="inlineStr">
        <is>
          <t>adhoc</t>
        </is>
      </c>
      <c r="M8" s="352" t="n"/>
      <c r="N8" s="354" t="n"/>
      <c r="O8" s="354" t="n"/>
      <c r="P8" s="354" t="n"/>
      <c r="Q8" s="354" t="n"/>
      <c r="R8" s="354" t="n"/>
      <c r="S8" s="354" t="n"/>
      <c r="T8" s="354" t="n"/>
    </row>
    <row r="9" ht="23.25" customHeight="1" s="279">
      <c r="A9" s="351" t="n"/>
      <c r="B9" s="352" t="inlineStr">
        <is>
          <t>CF1927-D3-B</t>
        </is>
      </c>
      <c r="C9" s="336" t="inlineStr">
        <is>
          <t>AC</t>
        </is>
      </c>
      <c r="D9" s="336" t="n">
        <v>1</v>
      </c>
      <c r="E9" s="336" t="n">
        <v>1</v>
      </c>
      <c r="F9" s="336" t="n">
        <v>12</v>
      </c>
      <c r="G9" s="336" t="n">
        <v>8</v>
      </c>
      <c r="H9" s="336" t="n"/>
      <c r="I9" s="336">
        <f>SUM(E9:H9)</f>
        <v/>
      </c>
      <c r="J9" s="353" t="n"/>
      <c r="K9" s="336" t="inlineStr">
        <is>
          <t>yes</t>
        </is>
      </c>
      <c r="L9" s="336" t="inlineStr">
        <is>
          <t>strings adhoc</t>
        </is>
      </c>
      <c r="M9" s="351" t="n"/>
      <c r="N9" s="351" t="n"/>
      <c r="O9" s="351" t="n"/>
      <c r="P9" s="351" t="n"/>
      <c r="Q9" s="351" t="n"/>
      <c r="R9" s="351" t="n"/>
      <c r="S9" s="351" t="n"/>
      <c r="T9" s="351" t="n"/>
    </row>
    <row r="10" ht="23.25" customHeight="1" s="279">
      <c r="A10" s="351" t="n"/>
      <c r="B10" s="352" t="inlineStr">
        <is>
          <t>CF1927-D3-C</t>
        </is>
      </c>
      <c r="C10" s="336" t="inlineStr">
        <is>
          <t>AC</t>
        </is>
      </c>
      <c r="D10" s="336" t="n">
        <v>1</v>
      </c>
      <c r="E10" s="336" t="n">
        <v>2</v>
      </c>
      <c r="F10" s="336" t="n">
        <v>10</v>
      </c>
      <c r="G10" s="336" t="n">
        <v>23</v>
      </c>
      <c r="H10" s="336" t="n"/>
      <c r="I10" s="336">
        <f>SUM(E10:H10)</f>
        <v/>
      </c>
      <c r="J10" s="353" t="n"/>
      <c r="K10" s="336" t="inlineStr">
        <is>
          <t>yes</t>
        </is>
      </c>
      <c r="L10" s="336" t="inlineStr">
        <is>
          <t>adhoc</t>
        </is>
      </c>
      <c r="M10" s="355" t="inlineStr">
        <is>
          <t>bits kinda ? i really need to be more confident</t>
        </is>
      </c>
      <c r="N10" s="351" t="n"/>
      <c r="O10" s="351" t="n"/>
      <c r="P10" s="351" t="n"/>
      <c r="Q10" s="351" t="n"/>
      <c r="R10" s="351" t="n"/>
      <c r="S10" s="351" t="n"/>
      <c r="T10" s="351" t="n"/>
    </row>
    <row r="11" ht="23.25" customHeight="1" s="279">
      <c r="A11" s="356" t="n"/>
      <c r="B11" s="352" t="inlineStr">
        <is>
          <t>CF1927-D3-D</t>
        </is>
      </c>
      <c r="C11" s="336" t="inlineStr">
        <is>
          <t>CS</t>
        </is>
      </c>
      <c r="D11" s="336" t="n">
        <v>0</v>
      </c>
      <c r="E11" s="336" t="n">
        <v>2</v>
      </c>
      <c r="F11" s="336" t="n">
        <v>8</v>
      </c>
      <c r="G11" s="336" t="n"/>
      <c r="H11" s="336" t="n"/>
      <c r="I11" s="336">
        <f>SUM(E11:H11)</f>
        <v/>
      </c>
      <c r="J11" s="353" t="n"/>
      <c r="K11" s="336" t="n"/>
      <c r="L11" s="336" t="n"/>
      <c r="M11" s="355" t="inlineStr">
        <is>
          <t>too bother some</t>
        </is>
      </c>
      <c r="N11" s="351" t="n"/>
      <c r="O11" s="351" t="n"/>
      <c r="P11" s="351" t="n"/>
      <c r="Q11" s="351" t="n"/>
      <c r="R11" s="351" t="n"/>
      <c r="S11" s="351" t="n"/>
      <c r="T11" s="351" t="n"/>
    </row>
    <row r="12" ht="34.5" customHeight="1" s="279">
      <c r="A12" s="351" t="n"/>
      <c r="B12" s="352" t="inlineStr">
        <is>
          <t>CF1927-D3-E</t>
        </is>
      </c>
      <c r="C12" s="336" t="inlineStr">
        <is>
          <t>AC</t>
        </is>
      </c>
      <c r="D12" s="336" t="n">
        <v>1</v>
      </c>
      <c r="E12" s="336" t="n">
        <v>3</v>
      </c>
      <c r="F12" s="336" t="n">
        <v>42</v>
      </c>
      <c r="G12" s="336" t="n">
        <v>67</v>
      </c>
      <c r="H12" s="336" t="n"/>
      <c r="I12" s="336">
        <f>SUM(E12:H12)</f>
        <v/>
      </c>
      <c r="J12" s="353" t="n"/>
      <c r="K12" s="336" t="inlineStr">
        <is>
          <t>yes</t>
        </is>
      </c>
      <c r="L12" s="336" t="n"/>
      <c r="M12" s="352" t="inlineStr">
        <is>
          <t xml:space="preserve">i really want to solve this i strugggled so much i kinda understand how to solve it but cant really implement it </t>
        </is>
      </c>
      <c r="N12" s="354" t="n"/>
      <c r="O12" s="354" t="n"/>
      <c r="P12" s="354" t="n"/>
      <c r="Q12" s="354" t="n"/>
      <c r="R12" s="354" t="n"/>
      <c r="S12" s="354" t="n"/>
      <c r="T12" s="354" t="n"/>
    </row>
    <row r="13" ht="23.25" customHeight="1" s="279">
      <c r="A13" s="351" t="n"/>
      <c r="B13" s="352" t="inlineStr">
        <is>
          <t>CF1928-D2-A</t>
        </is>
      </c>
      <c r="C13" s="336" t="inlineStr">
        <is>
          <t>AC</t>
        </is>
      </c>
      <c r="D13" s="336" t="n">
        <v>1</v>
      </c>
      <c r="E13" s="336" t="n">
        <v>2</v>
      </c>
      <c r="F13" s="336" t="n">
        <v>5</v>
      </c>
      <c r="G13" s="336" t="n">
        <v>25</v>
      </c>
      <c r="H13" s="336" t="n"/>
      <c r="I13" s="336">
        <f>SUM(E13:H13)</f>
        <v/>
      </c>
      <c r="J13" s="353" t="n"/>
      <c r="K13" s="336" t="inlineStr">
        <is>
          <t>yes</t>
        </is>
      </c>
      <c r="L13" s="336" t="n"/>
      <c r="M13" s="352" t="inlineStr">
        <is>
          <t>simplicity is key</t>
        </is>
      </c>
      <c r="N13" s="354" t="n"/>
      <c r="O13" s="354" t="n"/>
      <c r="P13" s="354" t="n"/>
      <c r="Q13" s="354" t="n"/>
      <c r="R13" s="354" t="n"/>
      <c r="S13" s="354" t="n"/>
      <c r="T13" s="354" t="n"/>
    </row>
    <row r="14" ht="23.25" customHeight="1" s="279">
      <c r="A14" s="340" t="n"/>
      <c r="B14" s="352" t="inlineStr">
        <is>
          <t>CF1928-D2-B</t>
        </is>
      </c>
      <c r="C14" s="336" t="inlineStr">
        <is>
          <t>AC</t>
        </is>
      </c>
      <c r="D14" s="336" t="n">
        <v>2</v>
      </c>
      <c r="E14" s="336" t="n">
        <v>3</v>
      </c>
      <c r="F14" s="336" t="n">
        <v>9</v>
      </c>
      <c r="G14" s="336" t="n">
        <v>10</v>
      </c>
      <c r="H14" s="336" t="n">
        <v>23</v>
      </c>
      <c r="I14" s="336">
        <f>SUM(E14:H14)</f>
        <v/>
      </c>
      <c r="J14" s="336" t="n"/>
      <c r="K14" s="336" t="inlineStr">
        <is>
          <t>yes</t>
        </is>
      </c>
      <c r="L14" s="336" t="n"/>
      <c r="M14" s="348" t="n"/>
      <c r="N14" s="348" t="n"/>
      <c r="O14" s="348" t="n"/>
      <c r="P14" s="348" t="n"/>
      <c r="Q14" s="348" t="n"/>
      <c r="R14" s="348" t="n"/>
      <c r="S14" s="348" t="n"/>
      <c r="T14" s="348" t="n"/>
    </row>
    <row r="15" ht="23.25" customHeight="1" s="279">
      <c r="A15" s="340" t="n"/>
      <c r="B15" s="352" t="inlineStr">
        <is>
          <t>CF1928-D2-C</t>
        </is>
      </c>
      <c r="C15" s="336" t="inlineStr">
        <is>
          <t>CS</t>
        </is>
      </c>
      <c r="D15" s="336" t="n"/>
      <c r="E15" s="336" t="n">
        <v>2</v>
      </c>
      <c r="F15" s="336" t="n">
        <v>30</v>
      </c>
      <c r="G15" s="336" t="n"/>
      <c r="H15" s="336" t="n"/>
      <c r="I15" s="336">
        <f>SUM(E15:H15)</f>
        <v/>
      </c>
      <c r="J15" s="336" t="n"/>
      <c r="K15" s="336" t="n"/>
      <c r="L15" s="336" t="n"/>
      <c r="M15" s="348" t="n"/>
      <c r="N15" s="348" t="n"/>
      <c r="O15" s="348" t="n"/>
      <c r="P15" s="348" t="n"/>
      <c r="Q15" s="348" t="n"/>
      <c r="R15" s="348" t="n"/>
      <c r="S15" s="348" t="n"/>
      <c r="T15" s="348" t="n"/>
    </row>
    <row r="16" ht="15.75" customHeight="1" s="279">
      <c r="A16" s="357" t="n"/>
      <c r="B16" s="358" t="inlineStr">
        <is>
          <t>CF467-D2-B</t>
        </is>
      </c>
      <c r="C16" s="336" t="inlineStr">
        <is>
          <t>AC</t>
        </is>
      </c>
      <c r="D16" s="336" t="n">
        <v>1</v>
      </c>
      <c r="E16" s="336" t="n">
        <v>1</v>
      </c>
      <c r="F16" s="336" t="n">
        <v>3</v>
      </c>
      <c r="G16" s="336" t="n">
        <v>6</v>
      </c>
      <c r="H16" s="336" t="n"/>
      <c r="I16" s="336">
        <f>SUM(E16:H16)</f>
        <v/>
      </c>
      <c r="J16" s="336" t="n"/>
      <c r="K16" s="336" t="inlineStr">
        <is>
          <t>yes</t>
        </is>
      </c>
      <c r="L16" s="336" t="inlineStr">
        <is>
          <t>bit</t>
        </is>
      </c>
      <c r="M16" s="348" t="n"/>
      <c r="N16" s="348" t="n"/>
      <c r="O16" s="348" t="n"/>
      <c r="P16" s="348" t="n"/>
      <c r="Q16" s="348" t="n"/>
      <c r="R16" s="348" t="n"/>
      <c r="S16" s="348" t="n"/>
      <c r="T16" s="348" t="n"/>
    </row>
    <row r="17" ht="15.75" customHeight="1" s="279">
      <c r="A17" s="357" t="n"/>
      <c r="B17" s="359" t="inlineStr">
        <is>
          <t xml:space="preserve">CF579-D2-A </t>
        </is>
      </c>
      <c r="C17" s="336" t="inlineStr">
        <is>
          <t>AC</t>
        </is>
      </c>
      <c r="D17" s="336" t="n">
        <v>1</v>
      </c>
      <c r="E17" s="336" t="n">
        <v>1</v>
      </c>
      <c r="F17" s="336" t="n">
        <v>9</v>
      </c>
      <c r="G17" s="336" t="n">
        <v>1</v>
      </c>
      <c r="H17" s="336" t="n">
        <v>0</v>
      </c>
      <c r="I17" s="336">
        <f>SUM(E17:H17)</f>
        <v/>
      </c>
      <c r="J17" s="336" t="n"/>
      <c r="K17" s="336" t="inlineStr">
        <is>
          <t>yes</t>
        </is>
      </c>
      <c r="L17" s="336" t="inlineStr">
        <is>
          <t>bit</t>
        </is>
      </c>
      <c r="M17" s="348" t="n"/>
      <c r="N17" s="348" t="n"/>
      <c r="O17" s="348" t="n"/>
      <c r="P17" s="348" t="n"/>
      <c r="Q17" s="348" t="n"/>
      <c r="R17" s="348" t="n"/>
      <c r="S17" s="348" t="n"/>
      <c r="T17" s="348" t="n"/>
    </row>
    <row r="18" ht="15.75" customHeight="1" s="279">
      <c r="A18" s="357" t="n"/>
      <c r="B18" s="359" t="inlineStr">
        <is>
          <t>CF443-D2-A</t>
        </is>
      </c>
      <c r="C18" s="336" t="inlineStr">
        <is>
          <t>AC</t>
        </is>
      </c>
      <c r="D18" s="336" t="n">
        <v>1</v>
      </c>
      <c r="E18" s="336" t="n">
        <v>1</v>
      </c>
      <c r="F18" s="336" t="n">
        <v>1</v>
      </c>
      <c r="G18" s="336" t="n">
        <v>4</v>
      </c>
      <c r="H18" s="336" t="n"/>
      <c r="I18" s="336">
        <f>SUM(E18:H18)</f>
        <v/>
      </c>
      <c r="J18" s="336" t="n"/>
      <c r="K18" s="336" t="inlineStr">
        <is>
          <t>yes</t>
        </is>
      </c>
      <c r="L18" s="336" t="inlineStr">
        <is>
          <t>adhoc</t>
        </is>
      </c>
      <c r="M18" s="348" t="n"/>
      <c r="N18" s="348" t="n"/>
      <c r="O18" s="348" t="n"/>
      <c r="P18" s="348" t="n"/>
      <c r="Q18" s="348" t="n"/>
      <c r="R18" s="348" t="n"/>
      <c r="S18" s="348" t="n"/>
      <c r="T18" s="348" t="n"/>
    </row>
    <row r="19" ht="30.75" customHeight="1" s="279">
      <c r="A19" s="350" t="n"/>
      <c r="B19" s="358" t="inlineStr">
        <is>
          <t>AtCoder arc105_b</t>
        </is>
      </c>
      <c r="C19" s="336" t="inlineStr">
        <is>
          <t>AC</t>
        </is>
      </c>
      <c r="D19" s="336" t="n">
        <v>1</v>
      </c>
      <c r="E19" s="336" t="n">
        <v>1</v>
      </c>
      <c r="F19" s="336" t="n">
        <v>15</v>
      </c>
      <c r="G19" s="336" t="n">
        <v>3</v>
      </c>
      <c r="H19" s="336" t="n"/>
      <c r="I19" s="336">
        <f>SUM(E19:H19)</f>
        <v/>
      </c>
      <c r="J19" s="336" t="n"/>
      <c r="K19" s="336" t="inlineStr">
        <is>
          <t>yes</t>
        </is>
      </c>
      <c r="L19" s="336" t="inlineStr">
        <is>
          <t>math</t>
        </is>
      </c>
      <c r="M19" s="360" t="n"/>
      <c r="N19" s="360" t="n"/>
      <c r="O19" s="360" t="n"/>
      <c r="P19" s="360" t="n"/>
      <c r="Q19" s="360" t="n"/>
      <c r="R19" s="360" t="n"/>
      <c r="S19" s="360" t="n"/>
      <c r="T19" s="360" t="n"/>
    </row>
    <row r="20" ht="23.25" customHeight="1" s="279">
      <c r="A20" s="351" t="n"/>
      <c r="B20" s="352" t="inlineStr">
        <is>
          <t>CF1931-D3-A</t>
        </is>
      </c>
      <c r="C20" s="361" t="inlineStr">
        <is>
          <t>AC</t>
        </is>
      </c>
      <c r="D20" s="353" t="n">
        <v>1</v>
      </c>
      <c r="E20" s="353" t="n">
        <v>1</v>
      </c>
      <c r="F20" s="353" t="n">
        <v>1</v>
      </c>
      <c r="G20" s="353" t="n">
        <v>5</v>
      </c>
      <c r="H20" s="353" t="n"/>
      <c r="I20" s="336">
        <f>SUM(E20:H20)</f>
        <v/>
      </c>
      <c r="J20" s="353" t="n"/>
      <c r="K20" s="336" t="inlineStr">
        <is>
          <t>yes</t>
        </is>
      </c>
      <c r="L20" s="336" t="inlineStr">
        <is>
          <t>adhoc</t>
        </is>
      </c>
      <c r="M20" s="352" t="n"/>
      <c r="N20" s="354" t="n"/>
      <c r="O20" s="354" t="n"/>
      <c r="P20" s="354" t="n"/>
      <c r="Q20" s="354" t="n"/>
      <c r="R20" s="354" t="n"/>
      <c r="S20" s="354" t="n"/>
      <c r="T20" s="354" t="n"/>
    </row>
    <row r="21" ht="23.25" customHeight="1" s="279">
      <c r="A21" s="351" t="n"/>
      <c r="B21" s="352" t="inlineStr">
        <is>
          <t>CF1931-D3-B</t>
        </is>
      </c>
      <c r="C21" s="361" t="inlineStr">
        <is>
          <t>AC</t>
        </is>
      </c>
      <c r="D21" s="353" t="n">
        <v>1</v>
      </c>
      <c r="E21" s="353" t="n">
        <v>1</v>
      </c>
      <c r="F21" s="353" t="n">
        <v>3</v>
      </c>
      <c r="G21" s="353" t="n">
        <v>25</v>
      </c>
      <c r="H21" s="353" t="n"/>
      <c r="I21" s="336">
        <f>SUM(E21:H21)</f>
        <v/>
      </c>
      <c r="J21" s="353" t="n"/>
      <c r="K21" s="336" t="inlineStr">
        <is>
          <t>yes</t>
        </is>
      </c>
      <c r="L21" s="336" t="inlineStr">
        <is>
          <t>adhoc</t>
        </is>
      </c>
      <c r="M21" s="352" t="n"/>
      <c r="N21" s="354" t="n"/>
      <c r="O21" s="354" t="n"/>
      <c r="P21" s="354" t="n"/>
      <c r="Q21" s="354" t="n"/>
      <c r="R21" s="354" t="n"/>
      <c r="S21" s="354" t="n"/>
      <c r="T21" s="354" t="n"/>
    </row>
    <row r="22" ht="23.25" customHeight="1" s="279">
      <c r="A22" s="351" t="n"/>
      <c r="B22" s="352" t="inlineStr">
        <is>
          <t>CF1931-D3-C</t>
        </is>
      </c>
      <c r="C22" s="361" t="inlineStr">
        <is>
          <t>AC</t>
        </is>
      </c>
      <c r="D22" s="353" t="n">
        <v>2</v>
      </c>
      <c r="E22" s="353" t="n">
        <v>1</v>
      </c>
      <c r="F22" s="353" t="n">
        <v>10</v>
      </c>
      <c r="G22" s="353" t="n">
        <v>36</v>
      </c>
      <c r="H22" s="353" t="n"/>
      <c r="I22" s="336">
        <f>SUM(E22:H22)</f>
        <v/>
      </c>
      <c r="J22" s="353" t="n"/>
      <c r="K22" s="336" t="inlineStr">
        <is>
          <t>yes</t>
        </is>
      </c>
      <c r="L22" s="336" t="inlineStr">
        <is>
          <t>adhoc</t>
        </is>
      </c>
      <c r="M22" s="352" t="n"/>
      <c r="N22" s="354" t="n"/>
      <c r="O22" s="354" t="n"/>
      <c r="P22" s="354" t="n"/>
      <c r="Q22" s="354" t="n"/>
      <c r="R22" s="354" t="n"/>
      <c r="S22" s="354" t="n"/>
      <c r="T22" s="354" t="n"/>
    </row>
    <row r="23" ht="23.25" customHeight="1" s="279">
      <c r="A23" s="356" t="n"/>
      <c r="B23" s="352" t="inlineStr">
        <is>
          <t>CF1929-D2-A</t>
        </is>
      </c>
      <c r="C23" s="336" t="inlineStr">
        <is>
          <t>AC</t>
        </is>
      </c>
      <c r="D23" s="336" t="n">
        <v>1</v>
      </c>
      <c r="E23" s="336" t="n">
        <v>1</v>
      </c>
      <c r="F23" s="336" t="n">
        <v>0.5</v>
      </c>
      <c r="G23" s="336" t="n">
        <v>1</v>
      </c>
      <c r="H23" s="336" t="n"/>
      <c r="I23" s="336">
        <f>SUM(E23:H23)</f>
        <v/>
      </c>
      <c r="J23" s="353" t="n"/>
      <c r="K23" s="336" t="inlineStr">
        <is>
          <t>yes</t>
        </is>
      </c>
      <c r="L23" s="336" t="inlineStr">
        <is>
          <t>adhoc</t>
        </is>
      </c>
      <c r="M23" s="352" t="n"/>
      <c r="N23" s="354" t="n"/>
      <c r="O23" s="354" t="n"/>
      <c r="P23" s="354" t="n"/>
      <c r="Q23" s="354" t="n"/>
      <c r="R23" s="354" t="n"/>
      <c r="S23" s="354" t="n"/>
      <c r="T23" s="354" t="n"/>
    </row>
    <row r="24" ht="23.25" customHeight="1" s="279">
      <c r="A24" s="356" t="n"/>
      <c r="B24" s="352" t="inlineStr">
        <is>
          <t>CF1929-D2-B</t>
        </is>
      </c>
      <c r="C24" s="336" t="inlineStr">
        <is>
          <t>AC</t>
        </is>
      </c>
      <c r="D24" s="336" t="n">
        <v>1</v>
      </c>
      <c r="E24" s="336" t="n">
        <v>1</v>
      </c>
      <c r="F24" s="336" t="n">
        <v>42</v>
      </c>
      <c r="G24" s="336" t="n">
        <v>1</v>
      </c>
      <c r="H24" s="336" t="n"/>
      <c r="I24" s="336">
        <f>SUM(E24:H24)</f>
        <v/>
      </c>
      <c r="J24" s="353" t="n"/>
      <c r="K24" s="336" t="inlineStr">
        <is>
          <t>yes</t>
        </is>
      </c>
      <c r="L24" s="336" t="inlineStr">
        <is>
          <t>adhoc</t>
        </is>
      </c>
      <c r="M24" s="352" t="n"/>
      <c r="N24" s="354" t="n"/>
      <c r="O24" s="354" t="n"/>
      <c r="P24" s="354" t="n"/>
      <c r="Q24" s="354" t="n"/>
      <c r="R24" s="354" t="n"/>
      <c r="S24" s="354" t="n"/>
      <c r="T24" s="354" t="n"/>
    </row>
    <row r="25" ht="23.25" customHeight="1" s="279">
      <c r="A25" s="351" t="n"/>
      <c r="B25" s="352" t="inlineStr">
        <is>
          <t>CF1929-D2-C</t>
        </is>
      </c>
      <c r="C25" s="336" t="inlineStr">
        <is>
          <t>AC</t>
        </is>
      </c>
      <c r="D25" s="336" t="n">
        <v>1</v>
      </c>
      <c r="E25" s="336" t="n">
        <v>3</v>
      </c>
      <c r="F25" s="336" t="n">
        <v>60</v>
      </c>
      <c r="G25" s="336" t="n">
        <v>8</v>
      </c>
      <c r="H25" s="336" t="n"/>
      <c r="I25" s="336">
        <f>SUM(E25:H25)</f>
        <v/>
      </c>
      <c r="J25" s="353" t="n"/>
      <c r="K25" s="336" t="inlineStr">
        <is>
          <t>yes</t>
        </is>
      </c>
      <c r="L25" s="336" t="inlineStr">
        <is>
          <t>math</t>
        </is>
      </c>
      <c r="M25" s="352" t="inlineStr">
        <is>
          <t>i hate my life</t>
        </is>
      </c>
      <c r="N25" s="354" t="n"/>
      <c r="O25" s="354" t="n"/>
      <c r="P25" s="354" t="n"/>
      <c r="Q25" s="354" t="n"/>
      <c r="R25" s="354" t="n"/>
      <c r="S25" s="354" t="n"/>
      <c r="T25" s="354" t="n"/>
    </row>
    <row r="26" ht="15.75" customHeight="1" s="279">
      <c r="A26" s="356" t="n"/>
      <c r="B26" s="359" t="inlineStr">
        <is>
          <t>CF1930-D2-A</t>
        </is>
      </c>
      <c r="C26" s="336" t="inlineStr">
        <is>
          <t>AC</t>
        </is>
      </c>
      <c r="D26" s="336" t="n">
        <v>2</v>
      </c>
      <c r="E26" s="336" t="n">
        <v>1</v>
      </c>
      <c r="F26" s="336" t="n">
        <v>1</v>
      </c>
      <c r="G26" s="336" t="n">
        <v>2</v>
      </c>
      <c r="H26" s="336" t="n">
        <v>7</v>
      </c>
      <c r="I26" s="336">
        <f>SUM(E26:H26)</f>
        <v/>
      </c>
      <c r="J26" s="353" t="n">
        <v>1</v>
      </c>
      <c r="K26" s="336" t="inlineStr">
        <is>
          <t>yes</t>
        </is>
      </c>
      <c r="L26" s="336" t="inlineStr">
        <is>
          <t>adhoc</t>
        </is>
      </c>
      <c r="M26" s="351" t="n"/>
      <c r="N26" s="354" t="n"/>
      <c r="O26" s="354" t="n"/>
      <c r="P26" s="354" t="n"/>
      <c r="Q26" s="354" t="n"/>
      <c r="R26" s="354" t="n"/>
      <c r="S26" s="354" t="n"/>
      <c r="T26" s="354" t="n"/>
    </row>
    <row r="27" ht="15.75" customHeight="1" s="279">
      <c r="A27" s="356" t="n"/>
      <c r="B27" s="358" t="inlineStr">
        <is>
          <t>CF1930-D2-B</t>
        </is>
      </c>
      <c r="C27" s="336" t="inlineStr">
        <is>
          <t>AC</t>
        </is>
      </c>
      <c r="D27" s="336" t="n">
        <v>1</v>
      </c>
      <c r="E27" s="336" t="n">
        <v>2</v>
      </c>
      <c r="F27" s="336" t="n">
        <v>5</v>
      </c>
      <c r="G27" s="336" t="n">
        <v>3</v>
      </c>
      <c r="H27" s="336" t="n"/>
      <c r="I27" s="336">
        <f>SUM(E27:H27)</f>
        <v/>
      </c>
      <c r="J27" s="353" t="n">
        <v>2</v>
      </c>
      <c r="K27" s="336" t="inlineStr">
        <is>
          <t>yes</t>
        </is>
      </c>
      <c r="L27" s="336" t="inlineStr">
        <is>
          <t>adhoc</t>
        </is>
      </c>
      <c r="M27" s="351" t="n"/>
      <c r="N27" s="354" t="n"/>
      <c r="O27" s="354" t="n"/>
      <c r="P27" s="354" t="n"/>
      <c r="Q27" s="354" t="n"/>
      <c r="R27" s="354" t="n"/>
      <c r="S27" s="354" t="n"/>
      <c r="T27" s="354" t="n"/>
    </row>
    <row r="28" ht="15.75" customHeight="1" s="279">
      <c r="A28" s="351" t="n"/>
      <c r="B28" s="358" t="inlineStr">
        <is>
          <t>CF1930-D2-C</t>
        </is>
      </c>
      <c r="C28" s="336" t="inlineStr">
        <is>
          <t>AC</t>
        </is>
      </c>
      <c r="D28" s="336" t="n">
        <v>1</v>
      </c>
      <c r="E28" s="336" t="n">
        <v>10</v>
      </c>
      <c r="F28" s="336" t="n">
        <v>60</v>
      </c>
      <c r="G28" s="336" t="n">
        <v>10</v>
      </c>
      <c r="H28" s="336" t="n">
        <v>10</v>
      </c>
      <c r="I28" s="336">
        <f>SUM(E28:H28)</f>
        <v/>
      </c>
      <c r="J28" s="353" t="n"/>
      <c r="K28" s="336" t="inlineStr">
        <is>
          <t>yes</t>
        </is>
      </c>
      <c r="L28" s="336" t="inlineStr">
        <is>
          <t>adhoc</t>
        </is>
      </c>
      <c r="M28" s="351" t="n"/>
      <c r="N28" s="351" t="n"/>
      <c r="O28" s="351" t="n"/>
      <c r="P28" s="351" t="n"/>
      <c r="Q28" s="351" t="n"/>
      <c r="R28" s="351" t="n"/>
      <c r="S28" s="351" t="n"/>
      <c r="T28" s="351" t="n"/>
    </row>
    <row r="29" ht="23.25" customHeight="1" s="279">
      <c r="A29" s="351" t="n"/>
      <c r="B29" s="352" t="inlineStr">
        <is>
          <t>CF1926-D4-A</t>
        </is>
      </c>
      <c r="C29" s="336" t="inlineStr">
        <is>
          <t>AC</t>
        </is>
      </c>
      <c r="D29" s="336" t="n">
        <v>1</v>
      </c>
      <c r="E29" s="336" t="n">
        <v>1</v>
      </c>
      <c r="F29" s="336" t="n"/>
      <c r="G29" s="336" t="n">
        <v>1</v>
      </c>
      <c r="H29" s="336" t="n"/>
      <c r="I29" s="336">
        <f>SUM(E29:H29)</f>
        <v/>
      </c>
      <c r="J29" s="353" t="n">
        <v>1</v>
      </c>
      <c r="K29" s="336" t="inlineStr">
        <is>
          <t>yes</t>
        </is>
      </c>
      <c r="L29" s="336" t="inlineStr">
        <is>
          <t>gready</t>
        </is>
      </c>
      <c r="M29" s="351" t="n"/>
      <c r="N29" s="351" t="n"/>
      <c r="O29" s="351" t="n"/>
      <c r="P29" s="351" t="n"/>
      <c r="Q29" s="351" t="n"/>
      <c r="R29" s="351" t="n"/>
      <c r="S29" s="351" t="n"/>
      <c r="T29" s="351" t="n"/>
    </row>
    <row r="30" ht="23.25" customHeight="1" s="279">
      <c r="A30" s="356" t="n"/>
      <c r="B30" s="352" t="inlineStr">
        <is>
          <t>CF1926-D4-B</t>
        </is>
      </c>
      <c r="C30" s="336" t="inlineStr">
        <is>
          <t>AC</t>
        </is>
      </c>
      <c r="D30" s="336" t="n">
        <v>1</v>
      </c>
      <c r="E30" s="336" t="n">
        <v>1</v>
      </c>
      <c r="F30" s="336" t="n">
        <v>1</v>
      </c>
      <c r="G30" s="336" t="n">
        <v>8</v>
      </c>
      <c r="H30" s="336" t="n"/>
      <c r="I30" s="336">
        <f>SUM(E30:H30)</f>
        <v/>
      </c>
      <c r="J30" s="353" t="n">
        <v>1</v>
      </c>
      <c r="K30" s="336" t="inlineStr">
        <is>
          <t>yes</t>
        </is>
      </c>
      <c r="L30" s="336" t="inlineStr">
        <is>
          <t>gready</t>
        </is>
      </c>
      <c r="M30" s="351" t="n"/>
      <c r="N30" s="351" t="n"/>
      <c r="O30" s="351" t="n"/>
      <c r="P30" s="351" t="n"/>
      <c r="Q30" s="351" t="n"/>
      <c r="R30" s="351" t="n"/>
      <c r="S30" s="351" t="n"/>
      <c r="T30" s="351" t="n"/>
    </row>
    <row r="31" ht="23.25" customHeight="1" s="279">
      <c r="A31" s="362" t="n"/>
      <c r="B31" s="352" t="inlineStr">
        <is>
          <t>CF1926-D4-C</t>
        </is>
      </c>
      <c r="C31" s="363" t="inlineStr">
        <is>
          <t>AC</t>
        </is>
      </c>
      <c r="D31" s="364" t="n">
        <v>1</v>
      </c>
      <c r="E31" s="364" t="n">
        <v>2</v>
      </c>
      <c r="F31" s="364" t="n">
        <v>3</v>
      </c>
      <c r="G31" s="364" t="n">
        <v>5</v>
      </c>
      <c r="H31" s="364" t="n"/>
      <c r="I31" s="365">
        <f>SUM(E31:H31)</f>
        <v/>
      </c>
      <c r="J31" s="364" t="n">
        <v>2</v>
      </c>
      <c r="K31" s="336" t="inlineStr">
        <is>
          <t>yes</t>
        </is>
      </c>
      <c r="L31" s="366" t="inlineStr">
        <is>
          <t>prefix sum</t>
        </is>
      </c>
      <c r="M31" s="351" t="n"/>
      <c r="N31" s="367" t="n"/>
      <c r="O31" s="367" t="n"/>
      <c r="P31" s="367" t="n"/>
      <c r="Q31" s="367" t="n"/>
      <c r="R31" s="367" t="n"/>
      <c r="S31" s="367" t="n"/>
      <c r="T31" s="367" t="n"/>
    </row>
    <row r="32" ht="23.25" customHeight="1" s="279">
      <c r="A32" s="368" t="n"/>
      <c r="B32" s="352" t="inlineStr">
        <is>
          <t>CF1926-D4-D</t>
        </is>
      </c>
      <c r="C32" s="366" t="inlineStr">
        <is>
          <t>AC</t>
        </is>
      </c>
      <c r="D32" s="366" t="n">
        <v>1</v>
      </c>
      <c r="E32" s="366" t="n">
        <v>3</v>
      </c>
      <c r="F32" s="366" t="n">
        <v>3</v>
      </c>
      <c r="G32" s="366" t="n">
        <v>18</v>
      </c>
      <c r="H32" s="366" t="n"/>
      <c r="I32" s="366">
        <f>SUM(E32:H32)</f>
        <v/>
      </c>
      <c r="J32" s="364" t="n">
        <v>2</v>
      </c>
      <c r="K32" s="336" t="inlineStr">
        <is>
          <t>yes</t>
        </is>
      </c>
      <c r="L32" s="366" t="inlineStr">
        <is>
          <t>gready, bit</t>
        </is>
      </c>
      <c r="M32" s="355" t="inlineStr">
        <is>
          <t>so eazy why cant i solve this in contest</t>
        </is>
      </c>
      <c r="N32" s="369" t="n"/>
      <c r="O32" s="369" t="n"/>
      <c r="P32" s="369" t="n"/>
      <c r="Q32" s="369" t="n"/>
      <c r="R32" s="369" t="n"/>
      <c r="S32" s="369" t="n"/>
      <c r="T32" s="369" t="n"/>
    </row>
    <row r="33" ht="23.25" customHeight="1" s="279">
      <c r="A33" s="362" t="n"/>
      <c r="B33" s="352" t="inlineStr">
        <is>
          <t>CF1926-D4-E</t>
        </is>
      </c>
      <c r="C33" s="366" t="inlineStr">
        <is>
          <t>AC</t>
        </is>
      </c>
      <c r="D33" s="366" t="n">
        <v>1</v>
      </c>
      <c r="E33" s="366" t="n">
        <v>2</v>
      </c>
      <c r="F33" s="366" t="n">
        <v>20</v>
      </c>
      <c r="G33" s="366" t="n">
        <v>40</v>
      </c>
      <c r="H33" s="366" t="n"/>
      <c r="I33" s="366">
        <f>SUM(E33:H33)</f>
        <v/>
      </c>
      <c r="J33" s="364" t="n">
        <v>3</v>
      </c>
      <c r="K33" s="336" t="inlineStr">
        <is>
          <t>yes</t>
        </is>
      </c>
      <c r="L33" s="366" t="inlineStr">
        <is>
          <t>math</t>
        </is>
      </c>
      <c r="M33" s="355" t="inlineStr">
        <is>
          <t>i dont know how to code</t>
        </is>
      </c>
      <c r="N33" s="367" t="n"/>
      <c r="O33" s="367" t="n"/>
      <c r="P33" s="367" t="n"/>
      <c r="Q33" s="367" t="n"/>
      <c r="R33" s="367" t="n"/>
      <c r="S33" s="367" t="n"/>
      <c r="T33" s="367" t="n"/>
    </row>
    <row r="34" ht="15.75" customHeight="1" s="279">
      <c r="A34" s="362" t="n"/>
      <c r="B34" s="358" t="inlineStr">
        <is>
          <t xml:space="preserve">CF1923-D2-A </t>
        </is>
      </c>
      <c r="C34" s="366" t="inlineStr">
        <is>
          <t>AC</t>
        </is>
      </c>
      <c r="D34" s="366" t="n">
        <v>1</v>
      </c>
      <c r="E34" s="366" t="n">
        <v>1</v>
      </c>
      <c r="F34" s="366" t="n"/>
      <c r="G34" s="366" t="n">
        <v>4</v>
      </c>
      <c r="H34" s="366" t="n"/>
      <c r="I34" s="366">
        <f>SUM(E34:H34)</f>
        <v/>
      </c>
      <c r="J34" s="364" t="n"/>
      <c r="K34" s="336" t="inlineStr">
        <is>
          <t>yes</t>
        </is>
      </c>
      <c r="L34" s="366" t="inlineStr">
        <is>
          <t>adhoc</t>
        </is>
      </c>
      <c r="M34" s="367" t="n"/>
      <c r="N34" s="367" t="n"/>
      <c r="O34" s="367" t="n"/>
      <c r="P34" s="367" t="n"/>
      <c r="Q34" s="367" t="n"/>
      <c r="R34" s="367" t="n"/>
      <c r="S34" s="367" t="n"/>
      <c r="T34" s="367" t="n"/>
    </row>
    <row r="35" ht="23.25" customHeight="1" s="279">
      <c r="A35" s="362" t="n"/>
      <c r="B35" s="359" t="inlineStr">
        <is>
          <t>CF1923-D2-B</t>
        </is>
      </c>
      <c r="C35" s="366" t="inlineStr">
        <is>
          <t>AC</t>
        </is>
      </c>
      <c r="D35" s="366" t="n">
        <v>5</v>
      </c>
      <c r="E35" s="366" t="n">
        <v>3</v>
      </c>
      <c r="F35" s="366" t="n">
        <v>10</v>
      </c>
      <c r="G35" s="366" t="n">
        <v>80</v>
      </c>
      <c r="H35" s="366" t="n"/>
      <c r="I35" s="366">
        <f>SUM(E35:H35)</f>
        <v/>
      </c>
      <c r="J35" s="364" t="n"/>
      <c r="K35" s="336" t="inlineStr">
        <is>
          <t>yes</t>
        </is>
      </c>
      <c r="L35" s="366" t="inlineStr">
        <is>
          <t>stimulation</t>
        </is>
      </c>
      <c r="M35" s="370" t="inlineStr">
        <is>
          <t>dont overcomplicate get better at code and read constrains well</t>
        </is>
      </c>
      <c r="N35" s="371" t="n"/>
      <c r="O35" s="371" t="n"/>
      <c r="P35" s="371" t="n"/>
      <c r="Q35" s="371" t="n"/>
      <c r="R35" s="371" t="n"/>
      <c r="S35" s="371" t="n"/>
      <c r="T35" s="371" t="n"/>
    </row>
    <row r="36" ht="15.75" customHeight="1" s="279">
      <c r="A36" s="362" t="n"/>
      <c r="B36" s="359" t="inlineStr">
        <is>
          <t>CF1923-D2-C</t>
        </is>
      </c>
      <c r="C36" s="366" t="inlineStr">
        <is>
          <t>AC</t>
        </is>
      </c>
      <c r="D36" s="366" t="n">
        <v>1</v>
      </c>
      <c r="E36" s="366" t="n">
        <v>4</v>
      </c>
      <c r="F36" s="366" t="n">
        <v>20</v>
      </c>
      <c r="G36" s="366" t="n">
        <v>5</v>
      </c>
      <c r="H36" s="366" t="n"/>
      <c r="I36" s="366">
        <f>SUM(E36:H36)</f>
        <v/>
      </c>
      <c r="J36" s="364" t="n"/>
      <c r="K36" s="366" t="inlineStr">
        <is>
          <t>yes</t>
        </is>
      </c>
      <c r="L36" s="366" t="inlineStr">
        <is>
          <t>math</t>
        </is>
      </c>
      <c r="M36" s="372" t="n"/>
      <c r="N36" s="367" t="n"/>
      <c r="O36" s="367" t="n"/>
      <c r="P36" s="367" t="n"/>
      <c r="Q36" s="367" t="n"/>
      <c r="R36" s="367" t="n"/>
      <c r="S36" s="367" t="n"/>
      <c r="T36" s="367" t="n"/>
    </row>
    <row r="37" ht="23.25" customHeight="1" s="279">
      <c r="A37" s="362" t="n"/>
      <c r="B37" s="373" t="inlineStr">
        <is>
          <t>CF1856-D2-B</t>
        </is>
      </c>
      <c r="C37" s="366" t="inlineStr">
        <is>
          <t>AC</t>
        </is>
      </c>
      <c r="D37" s="366" t="n">
        <v>4</v>
      </c>
      <c r="E37" s="366" t="n">
        <v>1</v>
      </c>
      <c r="F37" s="366" t="n">
        <v>5</v>
      </c>
      <c r="G37" s="366" t="n">
        <v>30</v>
      </c>
      <c r="H37" s="364" t="n"/>
      <c r="I37" s="374">
        <f>SUM(E37:H37)</f>
        <v/>
      </c>
      <c r="J37" s="364" t="n"/>
      <c r="K37" s="363" t="inlineStr">
        <is>
          <t>yes</t>
        </is>
      </c>
      <c r="L37" s="366" t="inlineStr">
        <is>
          <t>math</t>
        </is>
      </c>
      <c r="M37" s="362" t="n"/>
      <c r="N37" s="362" t="n"/>
      <c r="O37" s="362" t="n"/>
      <c r="P37" s="364" t="n"/>
      <c r="Q37" s="362" t="n"/>
      <c r="R37" s="362" t="n"/>
      <c r="S37" s="362" t="n"/>
      <c r="T37" s="367" t="n"/>
    </row>
    <row r="38" ht="15.75" customHeight="1" s="279">
      <c r="A38" s="362" t="n"/>
      <c r="B38" s="358" t="inlineStr">
        <is>
          <t>CF1933-D3-A</t>
        </is>
      </c>
      <c r="C38" s="366" t="inlineStr">
        <is>
          <t>AC</t>
        </is>
      </c>
      <c r="D38" s="366" t="n">
        <v>1</v>
      </c>
      <c r="E38" s="366" t="n">
        <v>1</v>
      </c>
      <c r="F38" s="366" t="n"/>
      <c r="G38" s="366" t="n">
        <v>1</v>
      </c>
      <c r="H38" s="366" t="n"/>
      <c r="I38" s="375">
        <f>SUM(E38:H38)</f>
        <v/>
      </c>
      <c r="J38" s="364" t="n"/>
      <c r="K38" s="366" t="n"/>
      <c r="L38" s="366" t="inlineStr">
        <is>
          <t>adhoc</t>
        </is>
      </c>
      <c r="M38" s="367" t="n"/>
      <c r="N38" s="367" t="n"/>
      <c r="O38" s="367" t="n"/>
      <c r="P38" s="367" t="n"/>
      <c r="Q38" s="367" t="n"/>
      <c r="R38" s="367" t="n"/>
      <c r="S38" s="367" t="n"/>
      <c r="T38" s="367" t="n"/>
    </row>
    <row r="39" ht="15.75" customHeight="1" s="279">
      <c r="A39" s="368" t="n"/>
      <c r="B39" s="358" t="inlineStr">
        <is>
          <t>CF1933-D3-B</t>
        </is>
      </c>
      <c r="C39" s="366" t="inlineStr">
        <is>
          <t>AC</t>
        </is>
      </c>
      <c r="D39" s="366" t="n">
        <v>1</v>
      </c>
      <c r="E39" s="366" t="n">
        <v>1</v>
      </c>
      <c r="F39" s="366" t="n">
        <v>4</v>
      </c>
      <c r="G39" s="366" t="n">
        <v>15</v>
      </c>
      <c r="H39" s="366" t="n"/>
      <c r="I39" s="366">
        <f>SUM(E39:H39)</f>
        <v/>
      </c>
      <c r="J39" s="364" t="n"/>
      <c r="K39" s="366" t="n"/>
      <c r="L39" s="366" t="inlineStr">
        <is>
          <t>math</t>
        </is>
      </c>
      <c r="M39" s="376" t="inlineStr">
        <is>
          <t xml:space="preserve">too little thinking </t>
        </is>
      </c>
      <c r="N39" s="362" t="n"/>
      <c r="O39" s="362" t="n"/>
      <c r="P39" s="362" t="n"/>
      <c r="Q39" s="362" t="n"/>
      <c r="R39" s="362" t="n"/>
      <c r="S39" s="362" t="n"/>
      <c r="T39" s="362" t="n"/>
    </row>
    <row r="40" ht="15.75" customHeight="1" s="279">
      <c r="A40" s="362" t="n"/>
      <c r="B40" s="358" t="inlineStr">
        <is>
          <t>CF1933-D3-C</t>
        </is>
      </c>
      <c r="C40" s="366" t="inlineStr">
        <is>
          <t>AC</t>
        </is>
      </c>
      <c r="D40" s="364" t="n">
        <v>2</v>
      </c>
      <c r="E40" s="364" t="n">
        <v>2</v>
      </c>
      <c r="F40" s="364" t="n">
        <v>4</v>
      </c>
      <c r="G40" s="364" t="n">
        <v>56</v>
      </c>
      <c r="H40" s="364" t="n"/>
      <c r="I40" s="366">
        <f>SUM(E40:H40)</f>
        <v/>
      </c>
      <c r="J40" s="364" t="n"/>
      <c r="K40" s="366" t="n"/>
      <c r="L40" s="366" t="inlineStr">
        <is>
          <t>brute force</t>
        </is>
      </c>
      <c r="M40" s="373" t="inlineStr">
        <is>
          <t>i need to get better at brute force</t>
        </is>
      </c>
      <c r="N40" s="367" t="n"/>
      <c r="O40" s="367" t="n"/>
      <c r="P40" s="367" t="n"/>
      <c r="Q40" s="367" t="n"/>
      <c r="R40" s="367" t="n"/>
      <c r="S40" s="367" t="n"/>
      <c r="T40" s="367" t="n"/>
    </row>
    <row r="41" ht="15.75" customHeight="1" s="279">
      <c r="A41" s="362" t="n"/>
      <c r="B41" s="358" t="inlineStr">
        <is>
          <t>CF1933-D3-D</t>
        </is>
      </c>
      <c r="C41" s="366" t="inlineStr">
        <is>
          <t>AC</t>
        </is>
      </c>
      <c r="D41" s="364" t="n">
        <v>1</v>
      </c>
      <c r="E41" s="364" t="n">
        <v>5</v>
      </c>
      <c r="F41" s="364" t="n">
        <v>10</v>
      </c>
      <c r="G41" s="364" t="n">
        <v>25</v>
      </c>
      <c r="H41" s="364" t="n"/>
      <c r="I41" s="366">
        <f>SUM(E41:H41)</f>
        <v/>
      </c>
      <c r="J41" s="364" t="n"/>
      <c r="K41" s="366" t="n"/>
      <c r="L41" s="366" t="inlineStr">
        <is>
          <t>math</t>
        </is>
      </c>
      <c r="M41" s="367" t="n"/>
      <c r="N41" s="367" t="n"/>
      <c r="O41" s="367" t="n"/>
      <c r="P41" s="367" t="n"/>
      <c r="Q41" s="367" t="n"/>
      <c r="R41" s="367" t="n"/>
      <c r="S41" s="367" t="n"/>
      <c r="T41" s="367" t="n"/>
    </row>
    <row r="42" ht="23.25" customHeight="1" s="279">
      <c r="A42" s="368" t="n"/>
      <c r="B42" s="377" t="inlineStr">
        <is>
          <t>CF1934-D2-A</t>
        </is>
      </c>
      <c r="C42" s="366" t="inlineStr">
        <is>
          <t>AC</t>
        </is>
      </c>
      <c r="D42" s="366" t="n">
        <v>1</v>
      </c>
      <c r="E42" s="366" t="n">
        <v>1</v>
      </c>
      <c r="F42" s="366" t="n">
        <v>2</v>
      </c>
      <c r="G42" s="366" t="n">
        <v>1</v>
      </c>
      <c r="H42" s="366" t="n"/>
      <c r="I42" s="366">
        <f>SUM(E42:H42)</f>
        <v/>
      </c>
      <c r="J42" s="364" t="n">
        <v>1</v>
      </c>
      <c r="K42" s="366" t="inlineStr">
        <is>
          <t>yes</t>
        </is>
      </c>
      <c r="L42" s="366" t="inlineStr">
        <is>
          <t>adhoc</t>
        </is>
      </c>
      <c r="M42" s="362" t="n"/>
      <c r="N42" s="362" t="n"/>
      <c r="O42" s="362" t="n"/>
      <c r="P42" s="362" t="n"/>
      <c r="Q42" s="362" t="n"/>
      <c r="R42" s="362" t="n"/>
      <c r="S42" s="362" t="n"/>
      <c r="T42" s="362" t="n"/>
    </row>
    <row r="43" ht="23.25" customHeight="1" s="279">
      <c r="A43" s="362" t="n"/>
      <c r="B43" s="377" t="inlineStr">
        <is>
          <t>CF1934-D2-B</t>
        </is>
      </c>
      <c r="C43" s="366" t="inlineStr">
        <is>
          <t>AC</t>
        </is>
      </c>
      <c r="D43" s="366" t="n">
        <v>1</v>
      </c>
      <c r="E43" s="366" t="n">
        <v>2</v>
      </c>
      <c r="F43" s="366" t="n">
        <v>50</v>
      </c>
      <c r="G43" s="366" t="n">
        <v>30</v>
      </c>
      <c r="H43" s="366" t="n"/>
      <c r="I43" s="366">
        <f>SUM(E43:H43)</f>
        <v/>
      </c>
      <c r="J43" s="364" t="n">
        <v>4</v>
      </c>
      <c r="K43" s="366" t="inlineStr">
        <is>
          <t>yes</t>
        </is>
      </c>
      <c r="L43" s="366" t="inlineStr">
        <is>
          <t>math</t>
        </is>
      </c>
      <c r="M43" s="362" t="n"/>
      <c r="N43" s="362" t="n"/>
      <c r="O43" s="362" t="n"/>
      <c r="P43" s="362" t="n"/>
      <c r="Q43" s="362" t="n"/>
      <c r="R43" s="362" t="n"/>
      <c r="S43" s="362" t="n"/>
      <c r="T43" s="362" t="n"/>
    </row>
    <row r="44" ht="23.25" customHeight="1" s="279">
      <c r="A44" s="362" t="n"/>
      <c r="B44" s="378" t="inlineStr">
        <is>
          <t>CF1937-D2-A</t>
        </is>
      </c>
      <c r="C44" s="366" t="inlineStr">
        <is>
          <t>AC</t>
        </is>
      </c>
      <c r="D44" s="366" t="n">
        <v>1</v>
      </c>
      <c r="E44" s="366" t="n">
        <v>1</v>
      </c>
      <c r="F44" s="366" t="n">
        <v>3</v>
      </c>
      <c r="G44" s="366" t="n">
        <v>2</v>
      </c>
      <c r="H44" s="366" t="n"/>
      <c r="I44" s="366">
        <f>SUM(E44:H44)</f>
        <v/>
      </c>
      <c r="J44" s="364" t="n">
        <v>1.5</v>
      </c>
      <c r="K44" s="366" t="inlineStr">
        <is>
          <t>yes</t>
        </is>
      </c>
      <c r="L44" s="366" t="inlineStr">
        <is>
          <t>math</t>
        </is>
      </c>
      <c r="M44" s="362" t="n"/>
      <c r="N44" s="362" t="n"/>
      <c r="O44" s="362" t="n"/>
      <c r="P44" s="362" t="n"/>
      <c r="Q44" s="362" t="n"/>
      <c r="R44" s="362" t="n"/>
      <c r="S44" s="362" t="n"/>
      <c r="T44" s="362" t="n"/>
    </row>
    <row r="45" ht="23.25" customHeight="1" s="279">
      <c r="A45" s="362" t="n"/>
      <c r="B45" s="377" t="inlineStr">
        <is>
          <t>CF1937-D2-B</t>
        </is>
      </c>
      <c r="C45" s="366" t="inlineStr">
        <is>
          <t>AC</t>
        </is>
      </c>
      <c r="D45" s="366" t="n">
        <v>1</v>
      </c>
      <c r="E45" s="366" t="n">
        <v>5</v>
      </c>
      <c r="F45" s="366" t="n">
        <v>20</v>
      </c>
      <c r="G45" s="366" t="n">
        <v>80</v>
      </c>
      <c r="H45" s="366" t="n"/>
      <c r="I45" s="366">
        <f>SUM(E45:H45)</f>
        <v/>
      </c>
      <c r="J45" s="364" t="n"/>
      <c r="K45" s="366" t="inlineStr">
        <is>
          <t>no</t>
        </is>
      </c>
      <c r="L45" s="366" t="inlineStr">
        <is>
          <t>gready</t>
        </is>
      </c>
      <c r="M45" s="367" t="n"/>
      <c r="N45" s="367" t="n"/>
      <c r="O45" s="367" t="n"/>
      <c r="P45" s="367" t="n"/>
      <c r="Q45" s="367" t="n"/>
      <c r="R45" s="367" t="n"/>
      <c r="S45" s="367" t="n"/>
      <c r="T45" s="367" t="n"/>
    </row>
    <row r="46" ht="15.75" customHeight="1" s="279">
      <c r="A46" s="362" t="n"/>
      <c r="B46" s="358" t="inlineStr">
        <is>
          <t>CF1935-D2-A</t>
        </is>
      </c>
      <c r="C46" s="366" t="inlineStr">
        <is>
          <t>AC</t>
        </is>
      </c>
      <c r="D46" s="364" t="n">
        <v>1</v>
      </c>
      <c r="E46" s="364" t="n">
        <v>2</v>
      </c>
      <c r="F46" s="364" t="n">
        <v>2</v>
      </c>
      <c r="G46" s="364" t="n">
        <v>2</v>
      </c>
      <c r="H46" s="364" t="n"/>
      <c r="I46" s="366">
        <f>SUM(E46:H46)</f>
        <v/>
      </c>
      <c r="J46" s="364" t="n"/>
      <c r="K46" s="366" t="inlineStr">
        <is>
          <t>yes</t>
        </is>
      </c>
      <c r="L46" s="366" t="inlineStr">
        <is>
          <t>adhoc</t>
        </is>
      </c>
      <c r="M46" s="367" t="n"/>
      <c r="N46" s="367" t="n"/>
      <c r="O46" s="367" t="n"/>
      <c r="P46" s="367" t="n"/>
      <c r="Q46" s="367" t="n"/>
      <c r="R46" s="367" t="n"/>
      <c r="S46" s="367" t="n"/>
      <c r="T46" s="367" t="n"/>
    </row>
    <row r="47" ht="15.75" customHeight="1" s="279">
      <c r="A47" s="362" t="n"/>
      <c r="B47" s="359" t="inlineStr">
        <is>
          <t>CF1935-D2-B</t>
        </is>
      </c>
      <c r="C47" s="366" t="inlineStr">
        <is>
          <t>AC</t>
        </is>
      </c>
      <c r="D47" s="364" t="n">
        <v>4</v>
      </c>
      <c r="E47" s="364" t="n">
        <v>4</v>
      </c>
      <c r="F47" s="364" t="n">
        <v>39</v>
      </c>
      <c r="G47" s="364" t="n">
        <v>60</v>
      </c>
      <c r="H47" s="364" t="n"/>
      <c r="I47" s="366">
        <f>SUM(E47:H47)</f>
        <v/>
      </c>
      <c r="J47" s="364" t="n"/>
      <c r="K47" s="363" t="inlineStr">
        <is>
          <t>no</t>
        </is>
      </c>
      <c r="L47" s="366" t="inlineStr">
        <is>
          <t>greedy</t>
        </is>
      </c>
      <c r="M47" s="367" t="n"/>
      <c r="N47" s="367" t="n"/>
      <c r="O47" s="367" t="n"/>
      <c r="P47" s="367" t="n"/>
      <c r="Q47" s="367" t="n"/>
      <c r="R47" s="367" t="n"/>
      <c r="S47" s="367" t="n"/>
      <c r="T47" s="367" t="n"/>
    </row>
    <row r="48" ht="23.25" customHeight="1" s="279">
      <c r="A48" s="362" t="n"/>
      <c r="B48" s="358" t="inlineStr">
        <is>
          <t>CF122-D2-A</t>
        </is>
      </c>
      <c r="C48" s="366" t="inlineStr">
        <is>
          <t>AC</t>
        </is>
      </c>
      <c r="D48" s="366" t="n">
        <v>1</v>
      </c>
      <c r="E48" s="366" t="n">
        <v>1</v>
      </c>
      <c r="F48" s="366" t="n">
        <v>3</v>
      </c>
      <c r="G48" s="366" t="n">
        <v>6</v>
      </c>
      <c r="H48" s="366" t="n"/>
      <c r="I48" s="366">
        <f>SUM(E48:H48)</f>
        <v/>
      </c>
      <c r="J48" s="364" t="n"/>
      <c r="K48" s="363" t="inlineStr">
        <is>
          <t>yes</t>
        </is>
      </c>
      <c r="L48" s="366" t="inlineStr">
        <is>
          <t>adhoc,math</t>
        </is>
      </c>
      <c r="M48" s="369" t="n"/>
      <c r="N48" s="369" t="n"/>
      <c r="O48" s="369" t="n"/>
      <c r="P48" s="369" t="n"/>
      <c r="Q48" s="369" t="n"/>
      <c r="R48" s="369" t="n"/>
      <c r="S48" s="369" t="n"/>
      <c r="T48" s="369" t="n"/>
    </row>
    <row r="49" ht="15.75" customHeight="1" s="279">
      <c r="A49" s="362" t="n"/>
      <c r="B49" s="359" t="inlineStr">
        <is>
          <t xml:space="preserve">CF69-D2-A </t>
        </is>
      </c>
      <c r="C49" s="366" t="inlineStr">
        <is>
          <t>AC</t>
        </is>
      </c>
      <c r="D49" s="366" t="n">
        <v>1</v>
      </c>
      <c r="E49" s="366" t="n">
        <v>1</v>
      </c>
      <c r="F49" s="366" t="n">
        <v>0</v>
      </c>
      <c r="G49" s="366" t="n">
        <v>3</v>
      </c>
      <c r="H49" s="366" t="n"/>
      <c r="I49" s="366">
        <f>SUM(E49:H49)</f>
        <v/>
      </c>
      <c r="J49" s="364" t="n"/>
      <c r="K49" s="363" t="inlineStr">
        <is>
          <t>yes</t>
        </is>
      </c>
      <c r="L49" s="366" t="inlineStr">
        <is>
          <t>adhoc</t>
        </is>
      </c>
      <c r="M49" s="369" t="n"/>
      <c r="N49" s="369" t="n"/>
      <c r="O49" s="369" t="n"/>
      <c r="P49" s="369" t="n"/>
      <c r="Q49" s="369" t="n"/>
      <c r="R49" s="369" t="n"/>
      <c r="S49" s="369" t="n"/>
      <c r="T49" s="369" t="n"/>
    </row>
    <row r="50" ht="34.5" customHeight="1" s="279">
      <c r="A50" s="362" t="n"/>
      <c r="B50" s="359" t="inlineStr">
        <is>
          <t xml:space="preserve">CF58-D2-A </t>
        </is>
      </c>
      <c r="C50" s="366" t="inlineStr">
        <is>
          <t>AC</t>
        </is>
      </c>
      <c r="D50" s="366" t="n">
        <v>3</v>
      </c>
      <c r="E50" s="366" t="n">
        <v>0.5</v>
      </c>
      <c r="F50" s="366" t="n">
        <v>0</v>
      </c>
      <c r="G50" s="366" t="n">
        <v>2</v>
      </c>
      <c r="H50" s="366" t="n">
        <v>2</v>
      </c>
      <c r="I50" s="366">
        <f>SUM(E50:H50)</f>
        <v/>
      </c>
      <c r="J50" s="364" t="n"/>
      <c r="K50" s="363" t="inlineStr">
        <is>
          <t>yes</t>
        </is>
      </c>
      <c r="L50" s="366" t="inlineStr">
        <is>
          <t>adhoc</t>
        </is>
      </c>
      <c r="M50" s="373" t="inlineStr">
        <is>
          <t>WA first missed a test case  it was because i dont know how to count 2 WA i misstype o as s bruh</t>
        </is>
      </c>
      <c r="N50" s="367" t="n"/>
      <c r="O50" s="367" t="n"/>
      <c r="P50" s="367" t="n"/>
      <c r="Q50" s="367" t="n"/>
      <c r="R50" s="367" t="n"/>
      <c r="S50" s="367" t="n"/>
      <c r="T50" s="367" t="n"/>
    </row>
    <row r="51" ht="23.25" customHeight="1" s="279">
      <c r="A51" s="362" t="n"/>
      <c r="B51" s="359" t="inlineStr">
        <is>
          <t>CF1553-D2-C</t>
        </is>
      </c>
      <c r="C51" s="366" t="inlineStr">
        <is>
          <t>AC</t>
        </is>
      </c>
      <c r="D51" s="366" t="n">
        <v>2</v>
      </c>
      <c r="E51" s="366" t="n">
        <v>2</v>
      </c>
      <c r="F51" s="366" t="n">
        <v>5</v>
      </c>
      <c r="G51" s="366" t="n">
        <v>95</v>
      </c>
      <c r="H51" s="366" t="n"/>
      <c r="I51" s="366">
        <f>SUM(E51:H51)</f>
        <v/>
      </c>
      <c r="J51" s="364" t="n"/>
      <c r="K51" s="363" t="inlineStr">
        <is>
          <t>yes</t>
        </is>
      </c>
      <c r="L51" s="366" t="inlineStr">
        <is>
          <t>adhoc,greedy</t>
        </is>
      </c>
      <c r="M51" s="379" t="inlineStr">
        <is>
          <t>fuckin 2 hours  i really should think on paper more</t>
        </is>
      </c>
      <c r="N51" s="367" t="n"/>
      <c r="O51" s="367" t="n"/>
      <c r="P51" s="367" t="n"/>
      <c r="Q51" s="367" t="n"/>
      <c r="R51" s="367" t="n"/>
      <c r="S51" s="367" t="n"/>
      <c r="T51" s="367" t="n"/>
    </row>
    <row r="52" ht="23.25" customHeight="1" s="279">
      <c r="A52" s="362" t="n"/>
      <c r="B52" s="358" t="inlineStr">
        <is>
          <t>CF1941-D3-A</t>
        </is>
      </c>
      <c r="C52" s="366" t="inlineStr">
        <is>
          <t>AC</t>
        </is>
      </c>
      <c r="D52" s="366" t="n">
        <v>1</v>
      </c>
      <c r="E52" s="366" t="n">
        <v>2</v>
      </c>
      <c r="F52" s="366" t="n">
        <v>3</v>
      </c>
      <c r="G52" s="366" t="n">
        <v>5</v>
      </c>
      <c r="H52" s="366" t="n"/>
      <c r="I52" s="366">
        <f>SUM(E52:H52)</f>
        <v/>
      </c>
      <c r="J52" s="364" t="n">
        <v>1</v>
      </c>
      <c r="K52" s="363" t="inlineStr">
        <is>
          <t>yes</t>
        </is>
      </c>
      <c r="L52" s="366" t="inlineStr">
        <is>
          <t>binary search</t>
        </is>
      </c>
      <c r="M52" s="372" t="n"/>
      <c r="N52" s="367" t="n"/>
      <c r="O52" s="367" t="n"/>
      <c r="P52" s="367" t="n"/>
      <c r="Q52" s="367" t="n"/>
      <c r="R52" s="367" t="n"/>
      <c r="S52" s="367" t="n"/>
      <c r="T52" s="367" t="n"/>
    </row>
    <row r="53" ht="23.25" customHeight="1" s="279">
      <c r="A53" s="362" t="n"/>
      <c r="B53" s="359" t="inlineStr">
        <is>
          <t xml:space="preserve">CF1941-D3-B </t>
        </is>
      </c>
      <c r="C53" s="366" t="inlineStr">
        <is>
          <t>AC</t>
        </is>
      </c>
      <c r="D53" s="366" t="n">
        <v>1</v>
      </c>
      <c r="E53" s="366" t="n">
        <v>1</v>
      </c>
      <c r="F53" s="366" t="n">
        <v>4</v>
      </c>
      <c r="G53" s="366" t="n">
        <v>5</v>
      </c>
      <c r="H53" s="366" t="n"/>
      <c r="I53" s="366">
        <f>SUM(E53:H53)</f>
        <v/>
      </c>
      <c r="J53" s="364" t="n">
        <v>1</v>
      </c>
      <c r="K53" s="363" t="inlineStr">
        <is>
          <t>yes</t>
        </is>
      </c>
      <c r="L53" s="366" t="inlineStr">
        <is>
          <t>gready</t>
        </is>
      </c>
      <c r="M53" s="373" t="inlineStr">
        <is>
          <t>nice intuition  this feels really motivating</t>
        </is>
      </c>
      <c r="N53" s="367" t="n"/>
      <c r="O53" s="367" t="n"/>
      <c r="P53" s="367" t="n"/>
      <c r="Q53" s="367" t="n"/>
      <c r="R53" s="367" t="n"/>
      <c r="S53" s="367" t="n"/>
      <c r="T53" s="367" t="n"/>
    </row>
    <row r="54" ht="68.25" customHeight="1" s="279">
      <c r="A54" s="362" t="n"/>
      <c r="B54" s="373" t="inlineStr">
        <is>
          <t>CF1941-D3-C</t>
        </is>
      </c>
      <c r="C54" s="366" t="inlineStr">
        <is>
          <t>AC</t>
        </is>
      </c>
      <c r="D54" s="366" t="n">
        <v>2</v>
      </c>
      <c r="E54" s="366" t="n">
        <v>1</v>
      </c>
      <c r="F54" s="366" t="n">
        <v>3</v>
      </c>
      <c r="G54" s="366" t="n">
        <v>20</v>
      </c>
      <c r="H54" s="366" t="n">
        <v>13</v>
      </c>
      <c r="I54" s="366">
        <f>SUM(E54:H54)</f>
        <v/>
      </c>
      <c r="J54" s="364" t="n">
        <v>2</v>
      </c>
      <c r="K54" s="363" t="inlineStr">
        <is>
          <t>yes</t>
        </is>
      </c>
      <c r="L54" s="366" t="inlineStr">
        <is>
          <t>adhoc</t>
        </is>
      </c>
      <c r="M54" s="373" t="inlineStr">
        <is>
          <t>WA1 little silly mistake i didnt read the statement well WA2 idk // what is wrong for real for real now  i know i just copy pasted without // editing appropriately silly me i am little fool well whatever</t>
        </is>
      </c>
      <c r="N54" s="367" t="n"/>
      <c r="O54" s="367" t="n"/>
      <c r="P54" s="367" t="n"/>
      <c r="Q54" s="367" t="n"/>
      <c r="R54" s="367" t="n"/>
      <c r="S54" s="367" t="n"/>
      <c r="T54" s="367" t="n"/>
    </row>
    <row r="55" ht="23.25" customHeight="1" s="279">
      <c r="A55" s="362" t="n"/>
      <c r="B55" s="373" t="inlineStr">
        <is>
          <t>CF1941-D3-D</t>
        </is>
      </c>
      <c r="C55" s="366" t="n"/>
      <c r="D55" s="366" t="n"/>
      <c r="E55" s="366" t="n"/>
      <c r="F55" s="366" t="n"/>
      <c r="G55" s="366" t="n"/>
      <c r="H55" s="366" t="n"/>
      <c r="I55" s="366">
        <f>SUM(E55:H55)</f>
        <v/>
      </c>
      <c r="J55" s="364" t="n"/>
      <c r="K55" s="366" t="n"/>
      <c r="L55" s="366" t="n"/>
      <c r="M55" s="370" t="n"/>
      <c r="N55" s="371" t="n"/>
      <c r="O55" s="371" t="n"/>
      <c r="P55" s="371" t="n"/>
      <c r="Q55" s="371" t="n"/>
      <c r="R55" s="371" t="n"/>
      <c r="S55" s="371" t="n"/>
      <c r="T55" s="371" t="n"/>
    </row>
    <row r="56" ht="15.75" customHeight="1" s="279">
      <c r="A56" s="362" t="n"/>
      <c r="B56" s="367" t="n"/>
      <c r="C56" s="366" t="n"/>
      <c r="D56" s="366" t="n"/>
      <c r="E56" s="366" t="n"/>
      <c r="F56" s="366" t="n"/>
      <c r="G56" s="366" t="n"/>
      <c r="H56" s="366" t="n"/>
      <c r="I56" s="366">
        <f>SUM(E56:H56)</f>
        <v/>
      </c>
      <c r="J56" s="364" t="n"/>
      <c r="K56" s="366" t="n"/>
      <c r="L56" s="366" t="n"/>
      <c r="M56" s="370" t="n"/>
      <c r="N56" s="371" t="n"/>
      <c r="O56" s="371" t="n"/>
      <c r="P56" s="371" t="n"/>
      <c r="Q56" s="371" t="n"/>
      <c r="R56" s="371" t="n"/>
      <c r="S56" s="371" t="n"/>
      <c r="T56" s="371" t="n"/>
    </row>
    <row r="57" ht="45.75" customHeight="1" s="279">
      <c r="A57" s="362" t="n"/>
      <c r="B57" s="373" t="inlineStr">
        <is>
          <t xml:space="preserve">CF1876-D2-A </t>
        </is>
      </c>
      <c r="C57" s="366" t="inlineStr">
        <is>
          <t>AC</t>
        </is>
      </c>
      <c r="D57" s="366" t="n">
        <v>2</v>
      </c>
      <c r="E57" s="366" t="n">
        <v>3</v>
      </c>
      <c r="F57" s="366" t="n">
        <v>10</v>
      </c>
      <c r="G57" s="366" t="n">
        <v>15</v>
      </c>
      <c r="H57" s="366" t="n"/>
      <c r="I57" s="366">
        <f>SUM(E57:H57)</f>
        <v/>
      </c>
      <c r="J57" s="364" t="n">
        <v>2</v>
      </c>
      <c r="K57" s="366" t="inlineStr">
        <is>
          <t>yes</t>
        </is>
      </c>
      <c r="L57" s="366" t="inlineStr">
        <is>
          <t>adhoc</t>
        </is>
      </c>
      <c r="M57" s="380" t="inlineStr">
        <is>
          <t>good problem dont get over confident i spent about half an hour in it with WA which is bad</t>
        </is>
      </c>
      <c r="N57" s="367" t="n"/>
      <c r="O57" s="367" t="n"/>
      <c r="P57" s="367" t="n"/>
      <c r="Q57" s="367" t="n"/>
      <c r="R57" s="367" t="n"/>
      <c r="S57" s="367" t="n"/>
      <c r="T57" s="367" t="n"/>
    </row>
    <row r="58" ht="30.75" customHeight="1" s="279">
      <c r="A58" s="362" t="n"/>
      <c r="B58" s="373" t="inlineStr">
        <is>
          <t xml:space="preserve">CF1861-D2-B </t>
        </is>
      </c>
      <c r="C58" s="363" t="inlineStr">
        <is>
          <t>AC</t>
        </is>
      </c>
      <c r="D58" s="364" t="n">
        <v>4</v>
      </c>
      <c r="E58" s="364" t="n">
        <v>20</v>
      </c>
      <c r="F58" s="364" t="n">
        <v>15</v>
      </c>
      <c r="G58" s="364" t="n">
        <v>20</v>
      </c>
      <c r="H58" s="364" t="n"/>
      <c r="I58" s="366">
        <f>SUM(E58:H58)</f>
        <v/>
      </c>
      <c r="J58" s="364" t="n">
        <v>2</v>
      </c>
      <c r="K58" s="366" t="inlineStr">
        <is>
          <t>hint</t>
        </is>
      </c>
      <c r="L58" s="366" t="inlineStr">
        <is>
          <t>adhoc,math</t>
        </is>
      </c>
      <c r="M58" s="380" t="inlineStr">
        <is>
          <t>fun prob i need to notice these patterns faster</t>
        </is>
      </c>
      <c r="N58" s="367" t="n"/>
      <c r="O58" s="367" t="n"/>
      <c r="P58" s="367" t="n"/>
      <c r="Q58" s="367" t="n"/>
      <c r="R58" s="367" t="n"/>
      <c r="S58" s="367" t="n"/>
      <c r="T58" s="367" t="n"/>
    </row>
    <row r="59" ht="15.75" customHeight="1" s="279">
      <c r="A59" s="362" t="n"/>
      <c r="B59" s="367" t="n"/>
      <c r="C59" s="366" t="n"/>
      <c r="D59" s="366" t="n"/>
      <c r="E59" s="366" t="n"/>
      <c r="F59" s="366" t="n"/>
      <c r="G59" s="366" t="n"/>
      <c r="H59" s="366" t="n"/>
      <c r="I59" s="366">
        <f>SUM(E59:H59)</f>
        <v/>
      </c>
      <c r="J59" s="364" t="n"/>
      <c r="K59" s="366" t="n"/>
      <c r="L59" s="366" t="n"/>
      <c r="M59" s="362" t="n"/>
      <c r="N59" s="362" t="n"/>
      <c r="O59" s="362" t="n"/>
      <c r="P59" s="362" t="n"/>
      <c r="Q59" s="362" t="n"/>
      <c r="R59" s="362" t="n"/>
      <c r="S59" s="362" t="n"/>
      <c r="T59" s="362" t="n"/>
    </row>
    <row r="60" ht="30.75" customHeight="1" s="279">
      <c r="A60" s="362" t="n"/>
      <c r="B60" s="373" t="inlineStr">
        <is>
          <t>CF1876-D2-B</t>
        </is>
      </c>
      <c r="C60" s="366" t="n"/>
      <c r="D60" s="366" t="n"/>
      <c r="E60" s="366" t="n"/>
      <c r="F60" s="366" t="n"/>
      <c r="G60" s="366" t="n"/>
      <c r="H60" s="366" t="n"/>
      <c r="I60" s="366">
        <f>SUM(E60:H60)</f>
        <v/>
      </c>
      <c r="J60" s="364" t="n"/>
      <c r="K60" s="366" t="n"/>
      <c r="L60" s="366" t="n"/>
      <c r="M60" s="380" t="inlineStr">
        <is>
          <t>i need to think more on it the problem statement is tricky</t>
        </is>
      </c>
      <c r="N60" s="362" t="n"/>
      <c r="O60" s="362" t="n"/>
      <c r="P60" s="362" t="n"/>
      <c r="Q60" s="362" t="n"/>
      <c r="R60" s="362" t="n"/>
      <c r="S60" s="362" t="n"/>
      <c r="T60" s="362" t="n"/>
    </row>
    <row r="61" ht="23.25" customHeight="1" s="279">
      <c r="A61" s="368" t="n"/>
      <c r="B61" s="381" t="inlineStr">
        <is>
          <t>CF770-D2-B</t>
        </is>
      </c>
      <c r="C61" s="366" t="inlineStr">
        <is>
          <t>AC</t>
        </is>
      </c>
      <c r="D61" s="366" t="n">
        <v>6</v>
      </c>
      <c r="E61" s="366" t="n">
        <v>3</v>
      </c>
      <c r="F61" s="366" t="n">
        <v>10</v>
      </c>
      <c r="G61" s="366" t="n">
        <v>12</v>
      </c>
      <c r="H61" s="366" t="n">
        <v>15</v>
      </c>
      <c r="I61" s="366">
        <f>SUM(E61:H61)</f>
        <v/>
      </c>
      <c r="J61" s="364" t="n">
        <v>2</v>
      </c>
      <c r="K61" s="366" t="inlineStr">
        <is>
          <t>yes</t>
        </is>
      </c>
      <c r="L61" s="366" t="inlineStr">
        <is>
          <t>math</t>
        </is>
      </c>
      <c r="M61" s="376" t="inlineStr">
        <is>
          <t xml:space="preserve">alway focus if the function is for int or long long it will fuck you up gurenteed </t>
        </is>
      </c>
      <c r="N61" s="362" t="n"/>
      <c r="O61" s="362" t="n"/>
      <c r="P61" s="362" t="n"/>
      <c r="Q61" s="362" t="n"/>
      <c r="R61" s="362" t="n"/>
      <c r="S61" s="362" t="n"/>
      <c r="T61" s="362" t="n"/>
    </row>
    <row r="62" ht="15.75" customHeight="1" s="279">
      <c r="A62" s="382" t="n"/>
      <c r="B62" s="383" t="n"/>
      <c r="C62" s="384" t="n"/>
      <c r="D62" s="384" t="n"/>
      <c r="E62" s="384" t="n"/>
      <c r="F62" s="384" t="n"/>
      <c r="G62" s="384" t="n"/>
      <c r="H62" s="384" t="n"/>
      <c r="I62" s="384">
        <f>SUM(E62:H62)</f>
        <v/>
      </c>
      <c r="J62" s="385" t="n"/>
      <c r="K62" s="384" t="n"/>
      <c r="L62" s="384" t="n"/>
      <c r="M62" s="386" t="n"/>
      <c r="N62" s="386" t="n"/>
      <c r="O62" s="386" t="n"/>
      <c r="P62" s="386" t="n"/>
      <c r="Q62" s="386" t="n"/>
      <c r="R62" s="386" t="n"/>
      <c r="S62" s="386" t="n"/>
      <c r="T62" s="386" t="n"/>
    </row>
    <row r="63" ht="23.25" customHeight="1" s="279">
      <c r="A63" s="368" t="n"/>
      <c r="B63" s="381" t="inlineStr">
        <is>
          <t>cses-Building Roads</t>
        </is>
      </c>
      <c r="C63" s="366" t="inlineStr">
        <is>
          <t>ac</t>
        </is>
      </c>
      <c r="D63" s="366" t="n">
        <v>1</v>
      </c>
      <c r="E63" s="366" t="n">
        <v>2</v>
      </c>
      <c r="F63" s="366" t="n">
        <v>3</v>
      </c>
      <c r="G63" s="366" t="n">
        <v>10</v>
      </c>
      <c r="H63" s="366" t="n"/>
      <c r="I63" s="366">
        <f>SUM(E63:H63)</f>
        <v/>
      </c>
      <c r="J63" s="364" t="n">
        <v>3</v>
      </c>
      <c r="K63" s="366" t="inlineStr">
        <is>
          <t>yes</t>
        </is>
      </c>
      <c r="L63" s="366" t="inlineStr">
        <is>
          <t>dfs</t>
        </is>
      </c>
      <c r="M63" s="376" t="inlineStr">
        <is>
          <t>finally learnd lambda</t>
        </is>
      </c>
      <c r="N63" s="362" t="n"/>
      <c r="O63" s="362" t="n"/>
      <c r="P63" s="362" t="n"/>
      <c r="Q63" s="362" t="n"/>
      <c r="R63" s="362" t="n"/>
      <c r="S63" s="362" t="n"/>
      <c r="T63" s="362" t="n"/>
    </row>
    <row r="64" ht="23.25" customHeight="1" s="279">
      <c r="A64" s="362" t="n"/>
      <c r="B64" s="373" t="inlineStr">
        <is>
          <t>cses-Subordinates</t>
        </is>
      </c>
      <c r="C64" s="363" t="inlineStr">
        <is>
          <t>ac</t>
        </is>
      </c>
      <c r="D64" s="364" t="n">
        <v>1</v>
      </c>
      <c r="E64" s="364" t="n">
        <v>2</v>
      </c>
      <c r="F64" s="364" t="n">
        <v>5</v>
      </c>
      <c r="G64" s="364" t="n">
        <v>4</v>
      </c>
      <c r="H64" s="364" t="n"/>
      <c r="I64" s="366">
        <f>SUM(E64:H64)</f>
        <v/>
      </c>
      <c r="J64" s="364" t="n">
        <v>2</v>
      </c>
      <c r="K64" s="363" t="inlineStr">
        <is>
          <t>yes</t>
        </is>
      </c>
      <c r="L64" s="366" t="inlineStr">
        <is>
          <t>dfs,tree</t>
        </is>
      </c>
      <c r="M64" s="367" t="n"/>
      <c r="N64" s="367" t="n"/>
      <c r="O64" s="367" t="n"/>
      <c r="P64" s="367" t="n"/>
      <c r="Q64" s="367" t="n"/>
      <c r="R64" s="367" t="n"/>
      <c r="S64" s="367" t="n"/>
      <c r="T64" s="367" t="n"/>
    </row>
    <row r="65" ht="15.75" customHeight="1" s="279">
      <c r="A65" s="362" t="n"/>
      <c r="B65" s="387">
        <f>HYPERLINK("https://codeforces.com/problemset/problem/580/C","CF580-D2-C")</f>
        <v/>
      </c>
      <c r="C65" s="363" t="inlineStr">
        <is>
          <t>ac</t>
        </is>
      </c>
      <c r="D65" s="364" t="n">
        <v>2</v>
      </c>
      <c r="E65" s="364" t="n">
        <v>3</v>
      </c>
      <c r="F65" s="364" t="n">
        <v>6</v>
      </c>
      <c r="G65" s="364" t="n">
        <v>10</v>
      </c>
      <c r="H65" s="364" t="n">
        <v>8</v>
      </c>
      <c r="I65" s="366">
        <f>SUM(E65:H65)</f>
        <v/>
      </c>
      <c r="J65" s="364" t="n">
        <v>3</v>
      </c>
      <c r="K65" s="363" t="inlineStr">
        <is>
          <t>yes</t>
        </is>
      </c>
      <c r="L65" s="366" t="inlineStr">
        <is>
          <t>dfs,tree</t>
        </is>
      </c>
      <c r="M65" s="376" t="inlineStr">
        <is>
          <t>stupid edge case</t>
        </is>
      </c>
      <c r="N65" s="367" t="n"/>
      <c r="O65" s="367" t="n"/>
      <c r="P65" s="367" t="n"/>
      <c r="Q65" s="367" t="n"/>
      <c r="R65" s="367" t="n"/>
      <c r="S65" s="367" t="n"/>
      <c r="T65" s="367" t="n"/>
    </row>
    <row r="66" ht="15.75" customHeight="1" s="279">
      <c r="A66" s="362" t="n"/>
      <c r="B66" s="373" t="inlineStr">
        <is>
          <t>CF727-D2-A</t>
        </is>
      </c>
      <c r="C66" s="363" t="inlineStr">
        <is>
          <t>AC</t>
        </is>
      </c>
      <c r="D66" s="364" t="n">
        <v>1</v>
      </c>
      <c r="E66" s="364" t="n">
        <v>1</v>
      </c>
      <c r="F66" s="364" t="n">
        <v>2</v>
      </c>
      <c r="G66" s="364" t="n">
        <v>12</v>
      </c>
      <c r="H66" s="364" t="n"/>
      <c r="I66" s="366">
        <f>SUM(E66:H66)</f>
        <v/>
      </c>
      <c r="J66" s="364" t="n">
        <v>2</v>
      </c>
      <c r="K66" s="363" t="inlineStr">
        <is>
          <t>yes</t>
        </is>
      </c>
      <c r="L66" s="366" t="inlineStr">
        <is>
          <t>dfs,math</t>
        </is>
      </c>
      <c r="M66" s="376" t="inlineStr">
        <is>
          <t>thinking about it in dfs helps</t>
        </is>
      </c>
      <c r="N66" s="367" t="n"/>
      <c r="O66" s="367" t="n"/>
      <c r="P66" s="367" t="n"/>
      <c r="Q66" s="367" t="n"/>
      <c r="R66" s="367" t="n"/>
      <c r="S66" s="367" t="n"/>
      <c r="T66" s="367" t="n"/>
    </row>
    <row r="67" ht="15.75" customHeight="1" s="279">
      <c r="A67" s="362" t="n"/>
      <c r="B67" s="367" t="n"/>
      <c r="C67" s="363" t="n"/>
      <c r="D67" s="364" t="n"/>
      <c r="E67" s="364" t="n"/>
      <c r="F67" s="364" t="n"/>
      <c r="G67" s="364" t="n"/>
      <c r="H67" s="364" t="n"/>
      <c r="I67" s="366">
        <f>SUM(E67:H67)</f>
        <v/>
      </c>
      <c r="J67" s="364" t="n"/>
      <c r="K67" s="363" t="n"/>
      <c r="L67" s="366" t="n"/>
      <c r="M67" s="362" t="n"/>
      <c r="N67" s="367" t="n"/>
      <c r="O67" s="367" t="n"/>
      <c r="P67" s="367" t="n"/>
      <c r="Q67" s="367" t="n"/>
      <c r="R67" s="367" t="n"/>
      <c r="S67" s="367" t="n"/>
      <c r="T67" s="367" t="n"/>
    </row>
    <row r="68" ht="15.75" customHeight="1" s="279">
      <c r="A68" s="362" t="n"/>
      <c r="B68" s="373" t="inlineStr">
        <is>
          <t>CF813-D2-C</t>
        </is>
      </c>
      <c r="C68" s="363" t="inlineStr">
        <is>
          <t>ac</t>
        </is>
      </c>
      <c r="D68" s="364" t="n">
        <v>1</v>
      </c>
      <c r="E68" s="364" t="n">
        <v>2</v>
      </c>
      <c r="F68" s="364" t="n">
        <v>7</v>
      </c>
      <c r="G68" s="364" t="n">
        <v>10</v>
      </c>
      <c r="H68" s="364" t="n">
        <v>0</v>
      </c>
      <c r="I68" s="366">
        <f>SUM(E68:H68)</f>
        <v/>
      </c>
      <c r="J68" s="364" t="n">
        <v>2</v>
      </c>
      <c r="K68" s="363" t="inlineStr">
        <is>
          <t>yes</t>
        </is>
      </c>
      <c r="L68" s="366" t="inlineStr">
        <is>
          <t>dfs,tree</t>
        </is>
      </c>
      <c r="M68" s="376" t="inlineStr">
        <is>
          <t>nice idea,</t>
        </is>
      </c>
      <c r="N68" s="367" t="n"/>
      <c r="O68" s="367" t="n"/>
      <c r="P68" s="367" t="n"/>
      <c r="Q68" s="367" t="n"/>
      <c r="R68" s="367" t="n"/>
      <c r="S68" s="367" t="n"/>
      <c r="T68" s="367" t="n"/>
    </row>
    <row r="69" ht="23.25" customHeight="1" s="279">
      <c r="A69" s="362" t="n"/>
      <c r="B69" s="373" t="inlineStr">
        <is>
          <t>[SPOJ-ADASEA]</t>
        </is>
      </c>
      <c r="C69" s="363" t="inlineStr">
        <is>
          <t>ac</t>
        </is>
      </c>
      <c r="D69" s="364" t="n">
        <v>1</v>
      </c>
      <c r="E69" s="364" t="n">
        <v>10</v>
      </c>
      <c r="F69" s="364" t="n">
        <v>40</v>
      </c>
      <c r="G69" s="364" t="n">
        <v>20</v>
      </c>
      <c r="H69" s="364" t="n"/>
      <c r="I69" s="366">
        <f>SUM(E69:H69)</f>
        <v/>
      </c>
      <c r="J69" s="364" t="n">
        <v>4</v>
      </c>
      <c r="K69" s="363" t="inlineStr">
        <is>
          <t>hint</t>
        </is>
      </c>
      <c r="L69" s="366" t="n"/>
      <c r="M69" s="362" t="n"/>
      <c r="N69" s="367" t="n"/>
      <c r="O69" s="367" t="n"/>
      <c r="P69" s="367" t="n"/>
      <c r="Q69" s="367" t="n"/>
      <c r="R69" s="367" t="n"/>
      <c r="S69" s="367" t="n"/>
      <c r="T69" s="367" t="n"/>
    </row>
    <row r="70" ht="15.75" customHeight="1" s="279">
      <c r="A70" s="362" t="n"/>
      <c r="B70" s="373" t="inlineStr">
        <is>
          <t>https://cses.fi/problemset/task/1667/</t>
        </is>
      </c>
      <c r="C70" s="363" t="inlineStr">
        <is>
          <t>ac</t>
        </is>
      </c>
      <c r="D70" s="364" t="n">
        <v>1</v>
      </c>
      <c r="E70" s="364" t="n">
        <v>3</v>
      </c>
      <c r="F70" s="364" t="n">
        <v>20</v>
      </c>
      <c r="G70" s="364" t="n">
        <v>10</v>
      </c>
      <c r="H70" s="364" t="n"/>
      <c r="I70" s="366">
        <f>SUM(E70:H70)</f>
        <v/>
      </c>
      <c r="J70" s="364" t="n">
        <v>2</v>
      </c>
      <c r="K70" s="363" t="inlineStr">
        <is>
          <t>yes</t>
        </is>
      </c>
      <c r="L70" s="366" t="inlineStr">
        <is>
          <t>bfs</t>
        </is>
      </c>
      <c r="M70" s="362" t="n"/>
      <c r="N70" s="367" t="n"/>
      <c r="O70" s="367" t="n"/>
      <c r="P70" s="367" t="n"/>
      <c r="Q70" s="367" t="n"/>
      <c r="R70" s="367" t="n"/>
      <c r="S70" s="367" t="n"/>
      <c r="T70" s="367" t="n"/>
    </row>
    <row r="71" ht="45.75" customHeight="1" s="279">
      <c r="A71" s="388" t="n"/>
      <c r="B71" s="389" t="inlineStr">
        <is>
          <t>https://codeforces.com/contest/242/problem/C</t>
        </is>
      </c>
      <c r="C71" s="366" t="n"/>
      <c r="D71" s="366" t="n"/>
      <c r="E71" s="366" t="n"/>
      <c r="F71" s="366" t="n"/>
      <c r="G71" s="366" t="n"/>
      <c r="H71" s="366" t="n"/>
      <c r="I71" s="366">
        <f>SUM(E71:H71)</f>
        <v/>
      </c>
      <c r="J71" s="366" t="n"/>
      <c r="K71" s="366" t="n"/>
      <c r="L71" s="366" t="n"/>
      <c r="M71" s="376" t="inlineStr">
        <is>
          <t>solved before somehow but just know realized why sol is correct length is less than 1e5 that is why it doesnt get memory limit</t>
        </is>
      </c>
      <c r="N71" s="390" t="n"/>
      <c r="O71" s="390" t="n"/>
      <c r="P71" s="390" t="n"/>
      <c r="Q71" s="390" t="n"/>
      <c r="R71" s="390" t="n"/>
      <c r="S71" s="390" t="n"/>
      <c r="T71" s="390" t="n"/>
    </row>
    <row r="72" ht="23.25" customHeight="1" s="279">
      <c r="A72" s="362" t="n"/>
      <c r="B72" s="391" t="inlineStr">
        <is>
          <t>https://codeforces.com/contest/378/problem/C</t>
        </is>
      </c>
      <c r="C72" s="363" t="inlineStr">
        <is>
          <t>ac</t>
        </is>
      </c>
      <c r="D72" s="364" t="n">
        <v>2</v>
      </c>
      <c r="E72" s="364" t="n">
        <v>3</v>
      </c>
      <c r="F72" s="364" t="n">
        <v>10</v>
      </c>
      <c r="G72" s="364" t="n">
        <v>5</v>
      </c>
      <c r="H72" s="364" t="n">
        <v>10</v>
      </c>
      <c r="I72" s="366">
        <f>SUM(E72:H72)</f>
        <v/>
      </c>
      <c r="J72" s="364" t="n">
        <v>3</v>
      </c>
      <c r="K72" s="363" t="inlineStr">
        <is>
          <t>hint</t>
        </is>
      </c>
      <c r="L72" s="366" t="inlineStr">
        <is>
          <t>graph</t>
        </is>
      </c>
      <c r="M72" s="376" t="inlineStr">
        <is>
          <t>very cool aha moment i shouldnt have looked at a hint   and stupid bug</t>
        </is>
      </c>
      <c r="N72" s="369" t="n"/>
      <c r="O72" s="369" t="n"/>
      <c r="P72" s="369" t="n"/>
      <c r="Q72" s="369" t="n"/>
      <c r="R72" s="369" t="n"/>
      <c r="S72" s="369" t="n"/>
      <c r="T72" s="369" t="n"/>
    </row>
    <row r="73" ht="15.75" customFormat="1" customHeight="1" s="392">
      <c r="M73" s="393" t="n"/>
    </row>
    <row r="74" ht="15.75" customHeight="1" s="279">
      <c r="A74" s="394" t="n"/>
      <c r="B74" s="389" t="inlineStr">
        <is>
          <t>https://codeforces.com/group/o09Gu2FpOx/contest/542182/problem/F</t>
        </is>
      </c>
      <c r="C74" s="366" t="inlineStr">
        <is>
          <t>ac</t>
        </is>
      </c>
      <c r="D74" s="366" t="n">
        <v>2</v>
      </c>
      <c r="E74" s="366" t="n">
        <v>1</v>
      </c>
      <c r="F74" s="366" t="n">
        <v>3</v>
      </c>
      <c r="G74" s="366" t="n">
        <v>3</v>
      </c>
      <c r="H74" s="366" t="n"/>
      <c r="I74" s="366">
        <f>SUM(E74:H74)</f>
        <v/>
      </c>
      <c r="J74" s="366" t="n">
        <v>2</v>
      </c>
      <c r="K74" s="366" t="inlineStr">
        <is>
          <t xml:space="preserve">yes </t>
        </is>
      </c>
      <c r="L74" s="366" t="inlineStr">
        <is>
          <t>probability</t>
        </is>
      </c>
      <c r="M74" s="376" t="inlineStr">
        <is>
          <t>dont forget division by zero</t>
        </is>
      </c>
      <c r="N74" s="390" t="n"/>
      <c r="O74" s="390" t="n"/>
      <c r="P74" s="390" t="n"/>
      <c r="Q74" s="390" t="n"/>
      <c r="R74" s="390" t="n"/>
      <c r="S74" s="390" t="n"/>
      <c r="T74" s="390" t="n"/>
      <c r="U74" s="278" t="n"/>
      <c r="V74" s="278" t="n"/>
      <c r="W74" s="278" t="n"/>
      <c r="X74" s="278" t="n"/>
      <c r="Y74" s="278" t="n"/>
      <c r="Z74" s="278" t="n"/>
      <c r="AA74" s="278" t="n"/>
      <c r="AB74" s="278" t="n"/>
      <c r="AC74" s="278" t="n"/>
      <c r="AD74" s="278" t="n"/>
      <c r="AE74" s="278" t="n"/>
      <c r="AF74" s="278" t="n"/>
      <c r="AG74" s="278" t="n"/>
      <c r="AH74" s="278" t="n"/>
      <c r="AI74" s="278" t="n"/>
      <c r="AJ74" s="278" t="n"/>
      <c r="AK74" s="278" t="n"/>
      <c r="AL74" s="278" t="n"/>
      <c r="AM74" s="278" t="n"/>
      <c r="AN74" s="278" t="n"/>
      <c r="AO74" s="278" t="n"/>
      <c r="AP74" s="278" t="n"/>
      <c r="AQ74" s="278" t="n"/>
      <c r="AR74" s="278" t="n"/>
      <c r="AS74" s="278" t="n"/>
      <c r="AT74" s="278" t="n"/>
      <c r="AU74" s="278" t="n"/>
      <c r="AV74" s="278" t="n"/>
      <c r="AW74" s="278" t="n"/>
      <c r="AX74" s="278" t="n"/>
      <c r="AY74" s="278" t="n"/>
      <c r="AZ74" s="278" t="n"/>
      <c r="BA74" s="278" t="n"/>
      <c r="BB74" s="278" t="n"/>
      <c r="BC74" s="278" t="n"/>
      <c r="BD74" s="278" t="n"/>
      <c r="BE74" s="278" t="n"/>
      <c r="BF74" s="278" t="n"/>
      <c r="BG74" s="278" t="n"/>
      <c r="BH74" s="278" t="n"/>
      <c r="BI74" s="278" t="n"/>
      <c r="BJ74" s="278" t="n"/>
      <c r="BK74" s="278" t="n"/>
      <c r="BL74" s="278" t="n"/>
      <c r="BM74" s="278" t="n"/>
      <c r="BN74" s="278" t="n"/>
      <c r="BO74" s="278" t="n"/>
      <c r="BP74" s="278" t="n"/>
      <c r="BQ74" s="278" t="n"/>
      <c r="BR74" s="278" t="n"/>
      <c r="BS74" s="278" t="n"/>
      <c r="BT74" s="278" t="n"/>
      <c r="BU74" s="278" t="n"/>
      <c r="BV74" s="278" t="n"/>
      <c r="BW74" s="278" t="n"/>
      <c r="BX74" s="278" t="n"/>
      <c r="BY74" s="278" t="n"/>
      <c r="BZ74" s="278" t="n"/>
      <c r="CA74" s="278" t="n"/>
      <c r="CB74" s="278" t="n"/>
      <c r="CC74" s="278" t="n"/>
      <c r="CD74" s="278" t="n"/>
      <c r="CE74" s="278" t="n"/>
      <c r="CF74" s="278" t="n"/>
      <c r="CG74" s="278" t="n"/>
      <c r="CH74" s="278" t="n"/>
      <c r="CI74" s="278" t="n"/>
      <c r="CJ74" s="278" t="n"/>
      <c r="CK74" s="278" t="n"/>
      <c r="CL74" s="278" t="n"/>
      <c r="CM74" s="278" t="n"/>
      <c r="CN74" s="278" t="n"/>
      <c r="CO74" s="278" t="n"/>
      <c r="CP74" s="278" t="n"/>
      <c r="CQ74" s="278" t="n"/>
      <c r="CR74" s="278" t="n"/>
      <c r="CS74" s="278" t="n"/>
      <c r="CT74" s="278" t="n"/>
      <c r="CU74" s="278" t="n"/>
      <c r="CV74" s="278" t="n"/>
      <c r="CW74" s="278" t="n"/>
      <c r="CX74" s="278" t="n"/>
      <c r="CY74" s="278" t="n"/>
      <c r="CZ74" s="278" t="n"/>
      <c r="DA74" s="278" t="n"/>
      <c r="DB74" s="278" t="n"/>
      <c r="DC74" s="278" t="n"/>
      <c r="DD74" s="278" t="n"/>
      <c r="DE74" s="278" t="n"/>
      <c r="DF74" s="278" t="n"/>
      <c r="DG74" s="278" t="n"/>
      <c r="DH74" s="278" t="n"/>
      <c r="DI74" s="278" t="n"/>
      <c r="DJ74" s="278" t="n"/>
      <c r="DK74" s="278" t="n"/>
      <c r="DL74" s="278" t="n"/>
      <c r="DM74" s="278" t="n"/>
      <c r="DN74" s="278" t="n"/>
      <c r="DO74" s="278" t="n"/>
      <c r="DP74" s="278" t="n"/>
      <c r="DQ74" s="278" t="n"/>
      <c r="DR74" s="278" t="n"/>
      <c r="DS74" s="278" t="n"/>
      <c r="DT74" s="278" t="n"/>
      <c r="DU74" s="278" t="n"/>
      <c r="DV74" s="278" t="n"/>
      <c r="DW74" s="278" t="n"/>
      <c r="DX74" s="278" t="n"/>
      <c r="DY74" s="278" t="n"/>
      <c r="DZ74" s="278" t="n"/>
      <c r="EA74" s="278" t="n"/>
      <c r="EB74" s="278" t="n"/>
      <c r="EC74" s="278" t="n"/>
      <c r="ED74" s="278" t="n"/>
      <c r="EE74" s="278" t="n"/>
      <c r="EF74" s="278" t="n"/>
      <c r="EG74" s="278" t="n"/>
      <c r="EH74" s="278" t="n"/>
      <c r="EI74" s="278" t="n"/>
      <c r="EJ74" s="278" t="n"/>
      <c r="EK74" s="278" t="n"/>
      <c r="EL74" s="278" t="n"/>
      <c r="EM74" s="278" t="n"/>
      <c r="EN74" s="278" t="n"/>
      <c r="EO74" s="278" t="n"/>
      <c r="EP74" s="278" t="n"/>
      <c r="EQ74" s="278" t="n"/>
      <c r="ER74" s="278" t="n"/>
      <c r="ES74" s="278" t="n"/>
      <c r="ET74" s="278" t="n"/>
      <c r="EU74" s="278" t="n"/>
      <c r="EV74" s="278" t="n"/>
      <c r="EW74" s="278" t="n"/>
      <c r="EX74" s="278" t="n"/>
      <c r="EY74" s="278" t="n"/>
      <c r="EZ74" s="278" t="n"/>
      <c r="FA74" s="278" t="n"/>
      <c r="FB74" s="278" t="n"/>
      <c r="FC74" s="278" t="n"/>
      <c r="FD74" s="278" t="n"/>
      <c r="FE74" s="278" t="n"/>
      <c r="FF74" s="278" t="n"/>
      <c r="FG74" s="278" t="n"/>
      <c r="FH74" s="278" t="n"/>
      <c r="FI74" s="278" t="n"/>
      <c r="FJ74" s="278" t="n"/>
      <c r="FK74" s="278" t="n"/>
      <c r="FL74" s="278" t="n"/>
      <c r="FM74" s="278" t="n"/>
      <c r="FN74" s="278" t="n"/>
      <c r="FO74" s="278" t="n"/>
      <c r="FP74" s="278" t="n"/>
      <c r="FQ74" s="278" t="n"/>
      <c r="FR74" s="278" t="n"/>
      <c r="FS74" s="278" t="n"/>
      <c r="FT74" s="278" t="n"/>
      <c r="FU74" s="278" t="n"/>
      <c r="FV74" s="278" t="n"/>
      <c r="FW74" s="278" t="n"/>
      <c r="FX74" s="278" t="n"/>
      <c r="FY74" s="278" t="n"/>
      <c r="FZ74" s="278" t="n"/>
      <c r="GA74" s="278" t="n"/>
      <c r="GB74" s="278" t="n"/>
      <c r="GC74" s="278" t="n"/>
      <c r="GD74" s="278" t="n"/>
      <c r="GE74" s="278" t="n"/>
      <c r="GF74" s="278" t="n"/>
      <c r="GG74" s="278" t="n"/>
      <c r="GH74" s="278" t="n"/>
      <c r="GI74" s="278" t="n"/>
      <c r="GJ74" s="278" t="n"/>
      <c r="GK74" s="278" t="n"/>
      <c r="GL74" s="278" t="n"/>
      <c r="GM74" s="278" t="n"/>
      <c r="GN74" s="278" t="n"/>
      <c r="GO74" s="278" t="n"/>
      <c r="GP74" s="278" t="n"/>
      <c r="GQ74" s="278" t="n"/>
      <c r="GR74" s="278" t="n"/>
      <c r="GS74" s="278" t="n"/>
      <c r="GT74" s="278" t="n"/>
      <c r="GU74" s="278" t="n"/>
      <c r="GV74" s="278" t="n"/>
      <c r="GW74" s="278" t="n"/>
      <c r="GX74" s="278" t="n"/>
      <c r="GY74" s="278" t="n"/>
      <c r="GZ74" s="278" t="n"/>
      <c r="HA74" s="278" t="n"/>
      <c r="HB74" s="278" t="n"/>
      <c r="HC74" s="278" t="n"/>
      <c r="HD74" s="278" t="n"/>
      <c r="HE74" s="278" t="n"/>
      <c r="HF74" s="278" t="n"/>
      <c r="HG74" s="278" t="n"/>
      <c r="HH74" s="278" t="n"/>
      <c r="HI74" s="278" t="n"/>
      <c r="HJ74" s="278" t="n"/>
      <c r="HK74" s="278" t="n"/>
      <c r="HL74" s="278" t="n"/>
      <c r="HM74" s="278" t="n"/>
      <c r="HN74" s="278" t="n"/>
      <c r="HO74" s="278" t="n"/>
      <c r="HP74" s="278" t="n"/>
      <c r="HQ74" s="278" t="n"/>
      <c r="HR74" s="278" t="n"/>
      <c r="HS74" s="278" t="n"/>
      <c r="HT74" s="278" t="n"/>
      <c r="HU74" s="278" t="n"/>
      <c r="HV74" s="278" t="n"/>
      <c r="HW74" s="278" t="n"/>
      <c r="HX74" s="278" t="n"/>
      <c r="HY74" s="278" t="n"/>
      <c r="HZ74" s="278" t="n"/>
      <c r="IA74" s="278" t="n"/>
      <c r="IB74" s="278" t="n"/>
      <c r="IC74" s="278" t="n"/>
      <c r="ID74" s="278" t="n"/>
      <c r="IE74" s="278" t="n"/>
      <c r="IF74" s="278" t="n"/>
      <c r="IG74" s="278" t="n"/>
      <c r="IH74" s="278" t="n"/>
      <c r="II74" s="278" t="n"/>
      <c r="IJ74" s="278" t="n"/>
      <c r="IK74" s="278" t="n"/>
      <c r="IL74" s="278" t="n"/>
      <c r="IM74" s="278" t="n"/>
      <c r="IN74" s="278" t="n"/>
      <c r="IO74" s="278" t="n"/>
      <c r="IP74" s="278" t="n"/>
      <c r="IQ74" s="278" t="n"/>
      <c r="IR74" s="278" t="n"/>
      <c r="IS74" s="278" t="n"/>
      <c r="IT74" s="278" t="n"/>
      <c r="IU74" s="278" t="n"/>
      <c r="IV74" s="278" t="n"/>
      <c r="IW74" s="278" t="n"/>
      <c r="IX74" s="278" t="n"/>
      <c r="IY74" s="278" t="n"/>
      <c r="IZ74" s="278" t="n"/>
      <c r="JA74" s="278" t="n"/>
      <c r="JB74" s="278" t="n"/>
      <c r="JC74" s="278" t="n"/>
      <c r="JD74" s="278" t="n"/>
      <c r="JE74" s="278" t="n"/>
      <c r="JF74" s="278" t="n"/>
      <c r="JG74" s="278" t="n"/>
      <c r="JH74" s="278" t="n"/>
      <c r="JI74" s="278" t="n"/>
      <c r="JJ74" s="278" t="n"/>
      <c r="JK74" s="278" t="n"/>
      <c r="JL74" s="278" t="n"/>
      <c r="JM74" s="278" t="n"/>
      <c r="JN74" s="278" t="n"/>
      <c r="JO74" s="278" t="n"/>
      <c r="JP74" s="278" t="n"/>
      <c r="JQ74" s="278" t="n"/>
      <c r="JR74" s="278" t="n"/>
      <c r="JS74" s="278" t="n"/>
      <c r="JT74" s="278" t="n"/>
      <c r="JU74" s="278" t="n"/>
      <c r="JV74" s="278" t="n"/>
      <c r="JW74" s="278" t="n"/>
      <c r="JX74" s="278" t="n"/>
      <c r="JY74" s="278" t="n"/>
      <c r="JZ74" s="278" t="n"/>
      <c r="KA74" s="278" t="n"/>
      <c r="KB74" s="278" t="n"/>
      <c r="KC74" s="278" t="n"/>
      <c r="KD74" s="278" t="n"/>
      <c r="KE74" s="278" t="n"/>
      <c r="KF74" s="278" t="n"/>
      <c r="KG74" s="278" t="n"/>
      <c r="KH74" s="278" t="n"/>
      <c r="KI74" s="278" t="n"/>
      <c r="KJ74" s="278" t="n"/>
      <c r="KK74" s="278" t="n"/>
      <c r="KL74" s="278" t="n"/>
      <c r="KM74" s="278" t="n"/>
      <c r="KN74" s="278" t="n"/>
      <c r="KO74" s="278" t="n"/>
      <c r="KP74" s="278" t="n"/>
      <c r="KQ74" s="278" t="n"/>
      <c r="KR74" s="278" t="n"/>
      <c r="KS74" s="278" t="n"/>
      <c r="KT74" s="278" t="n"/>
      <c r="KU74" s="278" t="n"/>
      <c r="KV74" s="278" t="n"/>
      <c r="KW74" s="278" t="n"/>
      <c r="KX74" s="278" t="n"/>
      <c r="KY74" s="278" t="n"/>
      <c r="KZ74" s="278" t="n"/>
      <c r="LA74" s="278" t="n"/>
      <c r="LB74" s="278" t="n"/>
      <c r="LC74" s="278" t="n"/>
      <c r="LD74" s="278" t="n"/>
      <c r="LE74" s="278" t="n"/>
      <c r="LF74" s="278" t="n"/>
      <c r="LG74" s="278" t="n"/>
      <c r="LH74" s="278" t="n"/>
      <c r="LI74" s="278" t="n"/>
      <c r="LJ74" s="278" t="n"/>
      <c r="LK74" s="278" t="n"/>
      <c r="LL74" s="278" t="n"/>
      <c r="LM74" s="278" t="n"/>
      <c r="LN74" s="278" t="n"/>
      <c r="LO74" s="278" t="n"/>
      <c r="LP74" s="278" t="n"/>
      <c r="LQ74" s="278" t="n"/>
      <c r="LR74" s="278" t="n"/>
      <c r="LS74" s="278" t="n"/>
      <c r="LT74" s="278" t="n"/>
      <c r="LU74" s="278" t="n"/>
      <c r="LV74" s="278" t="n"/>
      <c r="LW74" s="278" t="n"/>
      <c r="LX74" s="278" t="n"/>
      <c r="LY74" s="278" t="n"/>
      <c r="LZ74" s="278" t="n"/>
      <c r="MA74" s="278" t="n"/>
      <c r="MB74" s="278" t="n"/>
      <c r="MC74" s="278" t="n"/>
      <c r="MD74" s="278" t="n"/>
      <c r="ME74" s="278" t="n"/>
      <c r="MF74" s="278" t="n"/>
      <c r="MG74" s="278" t="n"/>
      <c r="MH74" s="278" t="n"/>
      <c r="MI74" s="278" t="n"/>
      <c r="MJ74" s="278" t="n"/>
      <c r="MK74" s="278" t="n"/>
      <c r="ML74" s="278" t="n"/>
      <c r="MM74" s="278" t="n"/>
      <c r="MN74" s="278" t="n"/>
      <c r="MO74" s="278" t="n"/>
      <c r="MP74" s="278" t="n"/>
      <c r="MQ74" s="278" t="n"/>
      <c r="MR74" s="278" t="n"/>
      <c r="MS74" s="278" t="n"/>
      <c r="MT74" s="278" t="n"/>
      <c r="MU74" s="278" t="n"/>
      <c r="MV74" s="278" t="n"/>
      <c r="MW74" s="278" t="n"/>
      <c r="MX74" s="278" t="n"/>
      <c r="MY74" s="278" t="n"/>
      <c r="MZ74" s="278" t="n"/>
      <c r="NA74" s="278" t="n"/>
      <c r="NB74" s="278" t="n"/>
      <c r="NC74" s="278" t="n"/>
      <c r="ND74" s="278" t="n"/>
      <c r="NE74" s="278" t="n"/>
      <c r="NF74" s="278" t="n"/>
      <c r="NG74" s="278" t="n"/>
      <c r="NH74" s="278" t="n"/>
      <c r="NI74" s="278" t="n"/>
      <c r="NJ74" s="278" t="n"/>
      <c r="NK74" s="278" t="n"/>
      <c r="NL74" s="278" t="n"/>
      <c r="NM74" s="278" t="n"/>
      <c r="NN74" s="278" t="n"/>
      <c r="NO74" s="278" t="n"/>
      <c r="NP74" s="278" t="n"/>
      <c r="NQ74" s="278" t="n"/>
      <c r="NR74" s="278" t="n"/>
      <c r="NS74" s="278" t="n"/>
      <c r="NT74" s="278" t="n"/>
      <c r="NU74" s="278" t="n"/>
      <c r="NV74" s="278" t="n"/>
      <c r="NW74" s="278" t="n"/>
      <c r="NX74" s="278" t="n"/>
      <c r="NY74" s="278" t="n"/>
      <c r="NZ74" s="278" t="n"/>
      <c r="OA74" s="278" t="n"/>
      <c r="OB74" s="278" t="n"/>
      <c r="OC74" s="278" t="n"/>
      <c r="OD74" s="278" t="n"/>
      <c r="OE74" s="278" t="n"/>
      <c r="OF74" s="278" t="n"/>
      <c r="OG74" s="278" t="n"/>
      <c r="OH74" s="278" t="n"/>
      <c r="OI74" s="278" t="n"/>
      <c r="OJ74" s="278" t="n"/>
      <c r="OK74" s="278" t="n"/>
      <c r="OL74" s="278" t="n"/>
      <c r="OM74" s="278" t="n"/>
      <c r="ON74" s="278" t="n"/>
      <c r="OO74" s="278" t="n"/>
      <c r="OP74" s="278" t="n"/>
      <c r="OQ74" s="278" t="n"/>
      <c r="OR74" s="278" t="n"/>
      <c r="OS74" s="278" t="n"/>
      <c r="OT74" s="278" t="n"/>
      <c r="OU74" s="278" t="n"/>
      <c r="OV74" s="278" t="n"/>
      <c r="OW74" s="278" t="n"/>
      <c r="OX74" s="278" t="n"/>
      <c r="OY74" s="278" t="n"/>
      <c r="OZ74" s="278" t="n"/>
      <c r="PA74" s="278" t="n"/>
      <c r="PB74" s="278" t="n"/>
      <c r="PC74" s="278" t="n"/>
      <c r="PD74" s="278" t="n"/>
      <c r="PE74" s="278" t="n"/>
      <c r="PF74" s="278" t="n"/>
      <c r="PG74" s="278" t="n"/>
      <c r="PH74" s="278" t="n"/>
      <c r="PI74" s="278" t="n"/>
      <c r="PJ74" s="278" t="n"/>
      <c r="PK74" s="278" t="n"/>
      <c r="PL74" s="278" t="n"/>
      <c r="PM74" s="278" t="n"/>
      <c r="PN74" s="278" t="n"/>
      <c r="PO74" s="278" t="n"/>
      <c r="PP74" s="278" t="n"/>
      <c r="PQ74" s="278" t="n"/>
      <c r="PR74" s="278" t="n"/>
      <c r="PS74" s="278" t="n"/>
      <c r="PT74" s="278" t="n"/>
      <c r="PU74" s="278" t="n"/>
      <c r="PV74" s="278" t="n"/>
      <c r="PW74" s="278" t="n"/>
      <c r="PX74" s="278" t="n"/>
      <c r="PY74" s="278" t="n"/>
      <c r="PZ74" s="278" t="n"/>
      <c r="QA74" s="278" t="n"/>
      <c r="QB74" s="278" t="n"/>
      <c r="QC74" s="278" t="n"/>
      <c r="QD74" s="278" t="n"/>
      <c r="QE74" s="278" t="n"/>
      <c r="QF74" s="278" t="n"/>
      <c r="QG74" s="278" t="n"/>
      <c r="QH74" s="278" t="n"/>
      <c r="QI74" s="278" t="n"/>
      <c r="QJ74" s="278" t="n"/>
      <c r="QK74" s="278" t="n"/>
      <c r="QL74" s="278" t="n"/>
      <c r="QM74" s="278" t="n"/>
      <c r="QN74" s="278" t="n"/>
      <c r="QO74" s="278" t="n"/>
      <c r="QP74" s="278" t="n"/>
      <c r="QQ74" s="278" t="n"/>
      <c r="QR74" s="278" t="n"/>
      <c r="QS74" s="278" t="n"/>
      <c r="QT74" s="278" t="n"/>
      <c r="QU74" s="278" t="n"/>
      <c r="QV74" s="278" t="n"/>
      <c r="QW74" s="278" t="n"/>
      <c r="QX74" s="278" t="n"/>
      <c r="QY74" s="278" t="n"/>
      <c r="QZ74" s="278" t="n"/>
      <c r="RA74" s="278" t="n"/>
      <c r="RB74" s="278" t="n"/>
      <c r="RC74" s="278" t="n"/>
      <c r="RD74" s="278" t="n"/>
      <c r="RE74" s="278" t="n"/>
      <c r="RF74" s="278" t="n"/>
      <c r="RG74" s="278" t="n"/>
      <c r="RH74" s="278" t="n"/>
      <c r="RI74" s="278" t="n"/>
      <c r="RJ74" s="278" t="n"/>
      <c r="RK74" s="278" t="n"/>
      <c r="RL74" s="278" t="n"/>
      <c r="RM74" s="278" t="n"/>
      <c r="RN74" s="278" t="n"/>
      <c r="RO74" s="278" t="n"/>
      <c r="RP74" s="278" t="n"/>
      <c r="RQ74" s="278" t="n"/>
      <c r="RR74" s="278" t="n"/>
      <c r="RS74" s="278" t="n"/>
      <c r="RT74" s="278" t="n"/>
      <c r="RU74" s="278" t="n"/>
      <c r="RV74" s="278" t="n"/>
      <c r="RW74" s="278" t="n"/>
      <c r="RX74" s="278" t="n"/>
      <c r="RY74" s="278" t="n"/>
      <c r="RZ74" s="278" t="n"/>
      <c r="SA74" s="278" t="n"/>
      <c r="SB74" s="278" t="n"/>
      <c r="SC74" s="278" t="n"/>
      <c r="SD74" s="278" t="n"/>
      <c r="SE74" s="278" t="n"/>
      <c r="SF74" s="278" t="n"/>
      <c r="SG74" s="278" t="n"/>
      <c r="SH74" s="278" t="n"/>
      <c r="SI74" s="278" t="n"/>
      <c r="SJ74" s="278" t="n"/>
      <c r="SK74" s="278" t="n"/>
      <c r="SL74" s="278" t="n"/>
      <c r="SM74" s="278" t="n"/>
      <c r="SN74" s="278" t="n"/>
      <c r="SO74" s="278" t="n"/>
      <c r="SP74" s="278" t="n"/>
      <c r="SQ74" s="278" t="n"/>
      <c r="SR74" s="278" t="n"/>
      <c r="SS74" s="278" t="n"/>
      <c r="ST74" s="278" t="n"/>
      <c r="SU74" s="278" t="n"/>
      <c r="SV74" s="278" t="n"/>
      <c r="SW74" s="278" t="n"/>
      <c r="SX74" s="278" t="n"/>
      <c r="SY74" s="278" t="n"/>
      <c r="SZ74" s="278" t="n"/>
      <c r="TA74" s="278" t="n"/>
      <c r="TB74" s="278" t="n"/>
      <c r="TC74" s="278" t="n"/>
      <c r="TD74" s="278" t="n"/>
      <c r="TE74" s="278" t="n"/>
      <c r="TF74" s="278" t="n"/>
      <c r="TG74" s="278" t="n"/>
      <c r="TH74" s="278" t="n"/>
      <c r="TI74" s="278" t="n"/>
      <c r="TJ74" s="278" t="n"/>
      <c r="TK74" s="278" t="n"/>
      <c r="TL74" s="278" t="n"/>
      <c r="TM74" s="278" t="n"/>
      <c r="TN74" s="278" t="n"/>
      <c r="TO74" s="278" t="n"/>
      <c r="TP74" s="278" t="n"/>
      <c r="TQ74" s="278" t="n"/>
      <c r="TR74" s="278" t="n"/>
      <c r="TS74" s="278" t="n"/>
      <c r="TT74" s="278" t="n"/>
      <c r="TU74" s="278" t="n"/>
      <c r="TV74" s="278" t="n"/>
      <c r="TW74" s="278" t="n"/>
      <c r="TX74" s="278" t="n"/>
      <c r="TY74" s="278" t="n"/>
      <c r="TZ74" s="278" t="n"/>
      <c r="UA74" s="278" t="n"/>
      <c r="UB74" s="278" t="n"/>
      <c r="UC74" s="278" t="n"/>
      <c r="UD74" s="278" t="n"/>
      <c r="UE74" s="278" t="n"/>
      <c r="UF74" s="278" t="n"/>
      <c r="UG74" s="278" t="n"/>
      <c r="UH74" s="278" t="n"/>
      <c r="UI74" s="278" t="n"/>
      <c r="UJ74" s="278" t="n"/>
      <c r="UK74" s="278" t="n"/>
      <c r="UL74" s="278" t="n"/>
      <c r="UM74" s="278" t="n"/>
      <c r="UN74" s="278" t="n"/>
      <c r="UO74" s="278" t="n"/>
      <c r="UP74" s="278" t="n"/>
      <c r="UQ74" s="278" t="n"/>
      <c r="UR74" s="278" t="n"/>
      <c r="US74" s="278" t="n"/>
      <c r="UT74" s="278" t="n"/>
      <c r="UU74" s="278" t="n"/>
      <c r="UV74" s="278" t="n"/>
      <c r="UW74" s="278" t="n"/>
      <c r="UX74" s="278" t="n"/>
      <c r="UY74" s="278" t="n"/>
      <c r="UZ74" s="278" t="n"/>
      <c r="VA74" s="278" t="n"/>
      <c r="VB74" s="278" t="n"/>
      <c r="VC74" s="278" t="n"/>
      <c r="VD74" s="278" t="n"/>
      <c r="VE74" s="278" t="n"/>
      <c r="VF74" s="278" t="n"/>
      <c r="VG74" s="278" t="n"/>
      <c r="VH74" s="278" t="n"/>
      <c r="VI74" s="278" t="n"/>
      <c r="VJ74" s="278" t="n"/>
      <c r="VK74" s="278" t="n"/>
      <c r="VL74" s="278" t="n"/>
      <c r="VM74" s="278" t="n"/>
      <c r="VN74" s="278" t="n"/>
      <c r="VO74" s="278" t="n"/>
      <c r="VP74" s="278" t="n"/>
      <c r="VQ74" s="278" t="n"/>
      <c r="VR74" s="278" t="n"/>
      <c r="VS74" s="278" t="n"/>
      <c r="VT74" s="278" t="n"/>
      <c r="VU74" s="278" t="n"/>
      <c r="VV74" s="278" t="n"/>
      <c r="VW74" s="278" t="n"/>
      <c r="VX74" s="278" t="n"/>
      <c r="VY74" s="278" t="n"/>
      <c r="VZ74" s="278" t="n"/>
      <c r="WA74" s="278" t="n"/>
      <c r="WB74" s="278" t="n"/>
      <c r="WC74" s="278" t="n"/>
      <c r="WD74" s="278" t="n"/>
      <c r="WE74" s="278" t="n"/>
      <c r="WF74" s="278" t="n"/>
      <c r="WG74" s="278" t="n"/>
      <c r="WH74" s="278" t="n"/>
      <c r="WI74" s="278" t="n"/>
      <c r="WJ74" s="278" t="n"/>
      <c r="WK74" s="278" t="n"/>
      <c r="WL74" s="278" t="n"/>
      <c r="WM74" s="278" t="n"/>
      <c r="WN74" s="278" t="n"/>
      <c r="WO74" s="278" t="n"/>
      <c r="WP74" s="278" t="n"/>
      <c r="WQ74" s="278" t="n"/>
      <c r="WR74" s="278" t="n"/>
      <c r="WS74" s="278" t="n"/>
      <c r="WT74" s="278" t="n"/>
      <c r="WU74" s="278" t="n"/>
      <c r="WV74" s="278" t="n"/>
      <c r="WW74" s="278" t="n"/>
      <c r="WX74" s="278" t="n"/>
      <c r="WY74" s="278" t="n"/>
      <c r="WZ74" s="278" t="n"/>
      <c r="XA74" s="278" t="n"/>
      <c r="XB74" s="278" t="n"/>
      <c r="XC74" s="278" t="n"/>
      <c r="XD74" s="278" t="n"/>
      <c r="XE74" s="278" t="n"/>
      <c r="XF74" s="278" t="n"/>
      <c r="XG74" s="278" t="n"/>
      <c r="XH74" s="278" t="n"/>
      <c r="XI74" s="278" t="n"/>
      <c r="XJ74" s="278" t="n"/>
      <c r="XK74" s="278" t="n"/>
      <c r="XL74" s="278" t="n"/>
      <c r="XM74" s="278" t="n"/>
      <c r="XN74" s="278" t="n"/>
      <c r="XO74" s="278" t="n"/>
      <c r="XP74" s="278" t="n"/>
      <c r="XQ74" s="278" t="n"/>
      <c r="XR74" s="278" t="n"/>
      <c r="XS74" s="278" t="n"/>
      <c r="XT74" s="278" t="n"/>
      <c r="XU74" s="278" t="n"/>
      <c r="XV74" s="278" t="n"/>
      <c r="XW74" s="278" t="n"/>
      <c r="XX74" s="278" t="n"/>
      <c r="XY74" s="278" t="n"/>
      <c r="XZ74" s="278" t="n"/>
      <c r="YA74" s="278" t="n"/>
      <c r="YB74" s="278" t="n"/>
      <c r="YC74" s="278" t="n"/>
      <c r="YD74" s="278" t="n"/>
      <c r="YE74" s="278" t="n"/>
      <c r="YF74" s="278" t="n"/>
      <c r="YG74" s="278" t="n"/>
      <c r="YH74" s="278" t="n"/>
      <c r="YI74" s="278" t="n"/>
      <c r="YJ74" s="278" t="n"/>
      <c r="YK74" s="278" t="n"/>
      <c r="YL74" s="278" t="n"/>
      <c r="YM74" s="278" t="n"/>
      <c r="YN74" s="278" t="n"/>
      <c r="YO74" s="278" t="n"/>
      <c r="YP74" s="278" t="n"/>
      <c r="YQ74" s="278" t="n"/>
      <c r="YR74" s="278" t="n"/>
      <c r="YS74" s="278" t="n"/>
      <c r="YT74" s="278" t="n"/>
      <c r="YU74" s="278" t="n"/>
      <c r="YV74" s="278" t="n"/>
      <c r="YW74" s="278" t="n"/>
      <c r="YX74" s="278" t="n"/>
      <c r="YY74" s="278" t="n"/>
      <c r="YZ74" s="278" t="n"/>
      <c r="ZA74" s="278" t="n"/>
      <c r="ZB74" s="278" t="n"/>
      <c r="ZC74" s="278" t="n"/>
      <c r="ZD74" s="278" t="n"/>
      <c r="ZE74" s="278" t="n"/>
      <c r="ZF74" s="278" t="n"/>
      <c r="ZG74" s="278" t="n"/>
      <c r="ZH74" s="278" t="n"/>
      <c r="ZI74" s="278" t="n"/>
      <c r="ZJ74" s="278" t="n"/>
      <c r="ZK74" s="278" t="n"/>
      <c r="ZL74" s="278" t="n"/>
      <c r="ZM74" s="278" t="n"/>
      <c r="ZN74" s="278" t="n"/>
      <c r="ZO74" s="278" t="n"/>
      <c r="ZP74" s="278" t="n"/>
      <c r="ZQ74" s="278" t="n"/>
      <c r="ZR74" s="278" t="n"/>
      <c r="ZS74" s="278" t="n"/>
      <c r="ZT74" s="278" t="n"/>
      <c r="ZU74" s="278" t="n"/>
      <c r="ZV74" s="278" t="n"/>
      <c r="ZW74" s="278" t="n"/>
      <c r="ZX74" s="278" t="n"/>
      <c r="ZY74" s="278" t="n"/>
      <c r="ZZ74" s="278" t="n"/>
      <c r="AAA74" s="278" t="n"/>
      <c r="AAB74" s="278" t="n"/>
      <c r="AAC74" s="278" t="n"/>
      <c r="AAD74" s="278" t="n"/>
      <c r="AAE74" s="278" t="n"/>
      <c r="AAF74" s="278" t="n"/>
      <c r="AAG74" s="278" t="n"/>
      <c r="AAH74" s="278" t="n"/>
      <c r="AAI74" s="278" t="n"/>
      <c r="AAJ74" s="278" t="n"/>
      <c r="AAK74" s="278" t="n"/>
      <c r="AAL74" s="278" t="n"/>
      <c r="AAM74" s="278" t="n"/>
      <c r="AAN74" s="278" t="n"/>
      <c r="AAO74" s="278" t="n"/>
      <c r="AAP74" s="278" t="n"/>
      <c r="AAQ74" s="278" t="n"/>
      <c r="AAR74" s="278" t="n"/>
      <c r="AAS74" s="278" t="n"/>
      <c r="AAT74" s="278" t="n"/>
      <c r="AAU74" s="278" t="n"/>
      <c r="AAV74" s="278" t="n"/>
      <c r="AAW74" s="278" t="n"/>
      <c r="AAX74" s="278" t="n"/>
      <c r="AAY74" s="278" t="n"/>
      <c r="AAZ74" s="278" t="n"/>
      <c r="ABA74" s="278" t="n"/>
      <c r="ABB74" s="278" t="n"/>
      <c r="ABC74" s="278" t="n"/>
      <c r="ABD74" s="278" t="n"/>
      <c r="ABE74" s="278" t="n"/>
      <c r="ABF74" s="278" t="n"/>
      <c r="ABG74" s="278" t="n"/>
      <c r="ABH74" s="278" t="n"/>
      <c r="ABI74" s="278" t="n"/>
      <c r="ABJ74" s="278" t="n"/>
      <c r="ABK74" s="278" t="n"/>
      <c r="ABL74" s="278" t="n"/>
      <c r="ABM74" s="278" t="n"/>
      <c r="ABN74" s="278" t="n"/>
      <c r="ABO74" s="278" t="n"/>
      <c r="ABP74" s="278" t="n"/>
      <c r="ABQ74" s="278" t="n"/>
      <c r="ABR74" s="278" t="n"/>
      <c r="ABS74" s="278" t="n"/>
      <c r="ABT74" s="278" t="n"/>
      <c r="ABU74" s="278" t="n"/>
      <c r="ABV74" s="278" t="n"/>
      <c r="ABW74" s="278" t="n"/>
      <c r="ABX74" s="278" t="n"/>
      <c r="ABY74" s="278" t="n"/>
      <c r="ABZ74" s="278" t="n"/>
      <c r="ACA74" s="278" t="n"/>
      <c r="ACB74" s="278" t="n"/>
      <c r="ACC74" s="278" t="n"/>
      <c r="ACD74" s="278" t="n"/>
      <c r="ACE74" s="278" t="n"/>
      <c r="ACF74" s="278" t="n"/>
      <c r="ACG74" s="278" t="n"/>
      <c r="ACH74" s="278" t="n"/>
      <c r="ACI74" s="278" t="n"/>
      <c r="ACJ74" s="278" t="n"/>
      <c r="ACK74" s="278" t="n"/>
      <c r="ACL74" s="278" t="n"/>
      <c r="ACM74" s="278" t="n"/>
      <c r="ACN74" s="278" t="n"/>
      <c r="ACO74" s="278" t="n"/>
      <c r="ACP74" s="278" t="n"/>
      <c r="ACQ74" s="278" t="n"/>
      <c r="ACR74" s="278" t="n"/>
      <c r="ACS74" s="278" t="n"/>
      <c r="ACT74" s="278" t="n"/>
      <c r="ACU74" s="278" t="n"/>
      <c r="ACV74" s="278" t="n"/>
      <c r="ACW74" s="278" t="n"/>
      <c r="ACX74" s="278" t="n"/>
      <c r="ACY74" s="278" t="n"/>
      <c r="ACZ74" s="278" t="n"/>
      <c r="ADA74" s="278" t="n"/>
      <c r="ADB74" s="278" t="n"/>
      <c r="ADC74" s="278" t="n"/>
      <c r="ADD74" s="278" t="n"/>
      <c r="ADE74" s="278" t="n"/>
      <c r="ADF74" s="278" t="n"/>
      <c r="ADG74" s="278" t="n"/>
      <c r="ADH74" s="278" t="n"/>
      <c r="ADI74" s="278" t="n"/>
      <c r="ADJ74" s="278" t="n"/>
      <c r="ADK74" s="278" t="n"/>
      <c r="ADL74" s="278" t="n"/>
      <c r="ADM74" s="278" t="n"/>
      <c r="ADN74" s="278" t="n"/>
      <c r="ADO74" s="278" t="n"/>
      <c r="ADP74" s="278" t="n"/>
      <c r="ADQ74" s="278" t="n"/>
      <c r="ADR74" s="278" t="n"/>
      <c r="ADS74" s="278" t="n"/>
      <c r="ADT74" s="278" t="n"/>
      <c r="ADU74" s="278" t="n"/>
      <c r="ADV74" s="278" t="n"/>
      <c r="ADW74" s="278" t="n"/>
      <c r="ADX74" s="278" t="n"/>
      <c r="ADY74" s="278" t="n"/>
      <c r="ADZ74" s="278" t="n"/>
      <c r="AEA74" s="278" t="n"/>
      <c r="AEB74" s="278" t="n"/>
      <c r="AEC74" s="278" t="n"/>
      <c r="AED74" s="278" t="n"/>
      <c r="AEE74" s="278" t="n"/>
      <c r="AEF74" s="278" t="n"/>
      <c r="AEG74" s="278" t="n"/>
      <c r="AEH74" s="278" t="n"/>
      <c r="AEI74" s="278" t="n"/>
      <c r="AEJ74" s="278" t="n"/>
      <c r="AEK74" s="278" t="n"/>
      <c r="AEL74" s="278" t="n"/>
      <c r="AEM74" s="278" t="n"/>
      <c r="AEN74" s="278" t="n"/>
      <c r="AEO74" s="278" t="n"/>
      <c r="AEP74" s="278" t="n"/>
      <c r="AEQ74" s="278" t="n"/>
      <c r="AER74" s="278" t="n"/>
      <c r="AES74" s="278" t="n"/>
      <c r="AET74" s="278" t="n"/>
      <c r="AEU74" s="278" t="n"/>
      <c r="AEV74" s="278" t="n"/>
      <c r="AEW74" s="278" t="n"/>
      <c r="AEX74" s="278" t="n"/>
      <c r="AEY74" s="278" t="n"/>
      <c r="AEZ74" s="278" t="n"/>
      <c r="AFA74" s="278" t="n"/>
      <c r="AFB74" s="278" t="n"/>
      <c r="AFC74" s="278" t="n"/>
      <c r="AFD74" s="278" t="n"/>
      <c r="AFE74" s="278" t="n"/>
      <c r="AFF74" s="278" t="n"/>
      <c r="AFG74" s="278" t="n"/>
      <c r="AFH74" s="278" t="n"/>
      <c r="AFI74" s="278" t="n"/>
      <c r="AFJ74" s="278" t="n"/>
      <c r="AFK74" s="278" t="n"/>
      <c r="AFL74" s="278" t="n"/>
      <c r="AFM74" s="278" t="n"/>
      <c r="AFN74" s="278" t="n"/>
      <c r="AFO74" s="278" t="n"/>
      <c r="AFP74" s="278" t="n"/>
      <c r="AFQ74" s="278" t="n"/>
      <c r="AFR74" s="278" t="n"/>
      <c r="AFS74" s="278" t="n"/>
      <c r="AFT74" s="278" t="n"/>
      <c r="AFU74" s="278" t="n"/>
      <c r="AFV74" s="278" t="n"/>
      <c r="AFW74" s="278" t="n"/>
      <c r="AFX74" s="278" t="n"/>
      <c r="AFY74" s="278" t="n"/>
      <c r="AFZ74" s="278" t="n"/>
      <c r="AGA74" s="278" t="n"/>
      <c r="AGB74" s="278" t="n"/>
      <c r="AGC74" s="278" t="n"/>
      <c r="AGD74" s="278" t="n"/>
      <c r="AGE74" s="278" t="n"/>
      <c r="AGF74" s="278" t="n"/>
      <c r="AGG74" s="278" t="n"/>
      <c r="AGH74" s="278" t="n"/>
      <c r="AGI74" s="278" t="n"/>
      <c r="AGJ74" s="278" t="n"/>
      <c r="AGK74" s="278" t="n"/>
      <c r="AGL74" s="278" t="n"/>
      <c r="AGM74" s="278" t="n"/>
      <c r="AGN74" s="278" t="n"/>
      <c r="AGO74" s="278" t="n"/>
      <c r="AGP74" s="278" t="n"/>
      <c r="AGQ74" s="278" t="n"/>
      <c r="AGR74" s="278" t="n"/>
      <c r="AGS74" s="278" t="n"/>
      <c r="AGT74" s="278" t="n"/>
      <c r="AGU74" s="278" t="n"/>
      <c r="AGV74" s="278" t="n"/>
      <c r="AGW74" s="278" t="n"/>
      <c r="AGX74" s="278" t="n"/>
      <c r="AGY74" s="278" t="n"/>
      <c r="AGZ74" s="278" t="n"/>
      <c r="AHA74" s="278" t="n"/>
      <c r="AHB74" s="278" t="n"/>
      <c r="AHC74" s="278" t="n"/>
      <c r="AHD74" s="278" t="n"/>
      <c r="AHE74" s="278" t="n"/>
      <c r="AHF74" s="278" t="n"/>
      <c r="AHG74" s="278" t="n"/>
      <c r="AHH74" s="278" t="n"/>
      <c r="AHI74" s="278" t="n"/>
      <c r="AHJ74" s="278" t="n"/>
      <c r="AHK74" s="278" t="n"/>
      <c r="AHL74" s="278" t="n"/>
      <c r="AHM74" s="278" t="n"/>
      <c r="AHN74" s="278" t="n"/>
      <c r="AHO74" s="278" t="n"/>
      <c r="AHP74" s="278" t="n"/>
      <c r="AHQ74" s="278" t="n"/>
      <c r="AHR74" s="278" t="n"/>
      <c r="AHS74" s="278" t="n"/>
      <c r="AHT74" s="278" t="n"/>
      <c r="AHU74" s="278" t="n"/>
      <c r="AHV74" s="278" t="n"/>
      <c r="AHW74" s="278" t="n"/>
      <c r="AHX74" s="278" t="n"/>
      <c r="AHY74" s="278" t="n"/>
      <c r="AHZ74" s="278" t="n"/>
      <c r="AIA74" s="278" t="n"/>
      <c r="AIB74" s="278" t="n"/>
      <c r="AIC74" s="278" t="n"/>
      <c r="AID74" s="278" t="n"/>
      <c r="AIE74" s="278" t="n"/>
      <c r="AIF74" s="278" t="n"/>
      <c r="AIG74" s="278" t="n"/>
      <c r="AIH74" s="278" t="n"/>
      <c r="AII74" s="278" t="n"/>
      <c r="AIJ74" s="278" t="n"/>
      <c r="AIK74" s="278" t="n"/>
      <c r="AIL74" s="278" t="n"/>
      <c r="AIM74" s="278" t="n"/>
      <c r="AIN74" s="278" t="n"/>
      <c r="AIO74" s="278" t="n"/>
      <c r="AIP74" s="278" t="n"/>
      <c r="AIQ74" s="278" t="n"/>
      <c r="AIR74" s="278" t="n"/>
      <c r="AIS74" s="278" t="n"/>
      <c r="AIT74" s="278" t="n"/>
      <c r="AIU74" s="278" t="n"/>
      <c r="AIV74" s="278" t="n"/>
      <c r="AIW74" s="278" t="n"/>
      <c r="AIX74" s="278" t="n"/>
      <c r="AIY74" s="278" t="n"/>
      <c r="AIZ74" s="278" t="n"/>
      <c r="AJA74" s="278" t="n"/>
      <c r="AJB74" s="278" t="n"/>
      <c r="AJC74" s="278" t="n"/>
      <c r="AJD74" s="278" t="n"/>
      <c r="AJE74" s="278" t="n"/>
      <c r="AJF74" s="278" t="n"/>
      <c r="AJG74" s="278" t="n"/>
      <c r="AJH74" s="278" t="n"/>
      <c r="AJI74" s="278" t="n"/>
      <c r="AJJ74" s="278" t="n"/>
      <c r="AJK74" s="278" t="n"/>
      <c r="AJL74" s="278" t="n"/>
      <c r="AJM74" s="278" t="n"/>
      <c r="AJN74" s="278" t="n"/>
      <c r="AJO74" s="278" t="n"/>
      <c r="AJP74" s="278" t="n"/>
      <c r="AJQ74" s="278" t="n"/>
      <c r="AJR74" s="278" t="n"/>
      <c r="AJS74" s="278" t="n"/>
      <c r="AJT74" s="278" t="n"/>
      <c r="AJU74" s="278" t="n"/>
      <c r="AJV74" s="278" t="n"/>
      <c r="AJW74" s="278" t="n"/>
      <c r="AJX74" s="278" t="n"/>
      <c r="AJY74" s="278" t="n"/>
      <c r="AJZ74" s="278" t="n"/>
      <c r="AKA74" s="278" t="n"/>
      <c r="AKB74" s="278" t="n"/>
      <c r="AKC74" s="278" t="n"/>
      <c r="AKD74" s="278" t="n"/>
      <c r="AKE74" s="278" t="n"/>
      <c r="AKF74" s="278" t="n"/>
      <c r="AKG74" s="278" t="n"/>
      <c r="AKH74" s="278" t="n"/>
      <c r="AKI74" s="278" t="n"/>
      <c r="AKJ74" s="278" t="n"/>
      <c r="AKK74" s="278" t="n"/>
      <c r="AKL74" s="278" t="n"/>
      <c r="AKM74" s="278" t="n"/>
      <c r="AKN74" s="278" t="n"/>
      <c r="AKO74" s="278" t="n"/>
      <c r="AKP74" s="278" t="n"/>
      <c r="AKQ74" s="278" t="n"/>
      <c r="AKR74" s="278" t="n"/>
      <c r="AKS74" s="278" t="n"/>
      <c r="AKT74" s="278" t="n"/>
      <c r="AKU74" s="278" t="n"/>
      <c r="AKV74" s="278" t="n"/>
      <c r="AKW74" s="278" t="n"/>
      <c r="AKX74" s="278" t="n"/>
      <c r="AKY74" s="278" t="n"/>
      <c r="AKZ74" s="278" t="n"/>
      <c r="ALA74" s="278" t="n"/>
      <c r="ALB74" s="278" t="n"/>
      <c r="ALC74" s="278" t="n"/>
      <c r="ALD74" s="278" t="n"/>
      <c r="ALE74" s="278" t="n"/>
      <c r="ALF74" s="278" t="n"/>
      <c r="ALG74" s="278" t="n"/>
      <c r="ALH74" s="278" t="n"/>
      <c r="ALI74" s="278" t="n"/>
      <c r="ALJ74" s="278" t="n"/>
      <c r="ALK74" s="278" t="n"/>
      <c r="ALL74" s="278" t="n"/>
      <c r="ALM74" s="278" t="n"/>
      <c r="ALN74" s="278" t="n"/>
      <c r="ALO74" s="278" t="n"/>
      <c r="ALP74" s="278" t="n"/>
      <c r="ALQ74" s="278" t="n"/>
      <c r="ALR74" s="278" t="n"/>
      <c r="ALS74" s="278" t="n"/>
      <c r="ALT74" s="278" t="n"/>
      <c r="ALU74" s="278" t="n"/>
      <c r="ALV74" s="278" t="n"/>
      <c r="ALW74" s="278" t="n"/>
      <c r="ALX74" s="278" t="n"/>
      <c r="ALY74" s="278" t="n"/>
      <c r="ALZ74" s="278" t="n"/>
      <c r="AMA74" s="278" t="n"/>
      <c r="AMB74" s="278" t="n"/>
      <c r="AMC74" s="278" t="n"/>
      <c r="AMD74" s="278" t="n"/>
      <c r="AME74" s="278" t="n"/>
      <c r="AMF74" s="278" t="n"/>
      <c r="AMG74" s="278" t="n"/>
      <c r="AMH74" s="278" t="n"/>
      <c r="AMI74" s="278" t="n"/>
      <c r="AMJ74" s="278" t="n"/>
      <c r="AMK74" s="278" t="n"/>
      <c r="AML74" s="278" t="n"/>
      <c r="AMM74" s="278" t="n"/>
      <c r="AMN74" s="278" t="n"/>
      <c r="AMO74" s="278" t="n"/>
      <c r="AMP74" s="278" t="n"/>
      <c r="AMQ74" s="278" t="n"/>
      <c r="AMR74" s="278" t="n"/>
      <c r="AMS74" s="278" t="n"/>
      <c r="AMT74" s="278" t="n"/>
      <c r="AMU74" s="278" t="n"/>
      <c r="AMV74" s="278" t="n"/>
      <c r="AMW74" s="278" t="n"/>
      <c r="AMX74" s="278" t="n"/>
      <c r="AMY74" s="278" t="n"/>
      <c r="AMZ74" s="278" t="n"/>
      <c r="ANA74" s="278" t="n"/>
      <c r="ANB74" s="278" t="n"/>
      <c r="ANC74" s="278" t="n"/>
      <c r="AND74" s="278" t="n"/>
      <c r="ANE74" s="278" t="n"/>
      <c r="ANF74" s="278" t="n"/>
      <c r="ANG74" s="278" t="n"/>
      <c r="ANH74" s="278" t="n"/>
      <c r="ANI74" s="278" t="n"/>
      <c r="ANJ74" s="278" t="n"/>
      <c r="ANK74" s="278" t="n"/>
      <c r="ANL74" s="278" t="n"/>
      <c r="ANM74" s="278" t="n"/>
      <c r="ANN74" s="278" t="n"/>
      <c r="ANO74" s="278" t="n"/>
      <c r="ANP74" s="278" t="n"/>
      <c r="ANQ74" s="278" t="n"/>
      <c r="ANR74" s="278" t="n"/>
      <c r="ANS74" s="278" t="n"/>
      <c r="ANT74" s="278" t="n"/>
      <c r="ANU74" s="278" t="n"/>
      <c r="ANV74" s="278" t="n"/>
      <c r="ANW74" s="278" t="n"/>
      <c r="ANX74" s="278" t="n"/>
      <c r="ANY74" s="278" t="n"/>
      <c r="ANZ74" s="278" t="n"/>
      <c r="AOA74" s="278" t="n"/>
      <c r="AOB74" s="278" t="n"/>
      <c r="AOC74" s="278" t="n"/>
      <c r="AOD74" s="278" t="n"/>
      <c r="AOE74" s="278" t="n"/>
      <c r="AOF74" s="278" t="n"/>
      <c r="AOG74" s="278" t="n"/>
      <c r="AOH74" s="278" t="n"/>
      <c r="AOI74" s="278" t="n"/>
      <c r="AOJ74" s="278" t="n"/>
      <c r="AOK74" s="278" t="n"/>
      <c r="AOL74" s="278" t="n"/>
      <c r="AOM74" s="278" t="n"/>
      <c r="AON74" s="278" t="n"/>
      <c r="AOO74" s="278" t="n"/>
      <c r="AOP74" s="278" t="n"/>
      <c r="AOQ74" s="278" t="n"/>
      <c r="AOR74" s="278" t="n"/>
      <c r="AOS74" s="278" t="n"/>
      <c r="AOT74" s="278" t="n"/>
      <c r="AOU74" s="278" t="n"/>
      <c r="AOV74" s="278" t="n"/>
      <c r="AOW74" s="278" t="n"/>
      <c r="AOX74" s="278" t="n"/>
      <c r="AOY74" s="278" t="n"/>
      <c r="AOZ74" s="278" t="n"/>
      <c r="APA74" s="278" t="n"/>
      <c r="APB74" s="278" t="n"/>
      <c r="APC74" s="278" t="n"/>
      <c r="APD74" s="278" t="n"/>
      <c r="APE74" s="278" t="n"/>
      <c r="APF74" s="278" t="n"/>
      <c r="APG74" s="278" t="n"/>
      <c r="APH74" s="278" t="n"/>
      <c r="API74" s="278" t="n"/>
      <c r="APJ74" s="278" t="n"/>
      <c r="APK74" s="278" t="n"/>
      <c r="APL74" s="278" t="n"/>
      <c r="APM74" s="278" t="n"/>
      <c r="APN74" s="278" t="n"/>
      <c r="APO74" s="278" t="n"/>
      <c r="APP74" s="278" t="n"/>
      <c r="APQ74" s="278" t="n"/>
      <c r="APR74" s="278" t="n"/>
      <c r="APS74" s="278" t="n"/>
      <c r="APT74" s="278" t="n"/>
      <c r="APU74" s="278" t="n"/>
      <c r="APV74" s="278" t="n"/>
      <c r="APW74" s="278" t="n"/>
      <c r="APX74" s="278" t="n"/>
      <c r="APY74" s="278" t="n"/>
      <c r="APZ74" s="278" t="n"/>
      <c r="AQA74" s="278" t="n"/>
      <c r="AQB74" s="278" t="n"/>
      <c r="AQC74" s="278" t="n"/>
      <c r="AQD74" s="278" t="n"/>
      <c r="AQE74" s="278" t="n"/>
      <c r="AQF74" s="278" t="n"/>
      <c r="AQG74" s="278" t="n"/>
      <c r="AQH74" s="278" t="n"/>
      <c r="AQI74" s="278" t="n"/>
      <c r="AQJ74" s="278" t="n"/>
      <c r="AQK74" s="278" t="n"/>
      <c r="AQL74" s="278" t="n"/>
      <c r="AQM74" s="278" t="n"/>
      <c r="AQN74" s="278" t="n"/>
      <c r="AQO74" s="278" t="n"/>
      <c r="AQP74" s="278" t="n"/>
      <c r="AQQ74" s="278" t="n"/>
      <c r="AQR74" s="278" t="n"/>
      <c r="AQS74" s="278" t="n"/>
      <c r="AQT74" s="278" t="n"/>
      <c r="AQU74" s="278" t="n"/>
      <c r="AQV74" s="278" t="n"/>
      <c r="AQW74" s="278" t="n"/>
      <c r="AQX74" s="278" t="n"/>
      <c r="AQY74" s="278" t="n"/>
      <c r="AQZ74" s="278" t="n"/>
      <c r="ARA74" s="278" t="n"/>
      <c r="ARB74" s="278" t="n"/>
      <c r="ARC74" s="278" t="n"/>
      <c r="ARD74" s="278" t="n"/>
      <c r="ARE74" s="278" t="n"/>
      <c r="ARF74" s="278" t="n"/>
      <c r="ARG74" s="278" t="n"/>
      <c r="ARH74" s="278" t="n"/>
      <c r="ARI74" s="278" t="n"/>
      <c r="ARJ74" s="278" t="n"/>
      <c r="ARK74" s="278" t="n"/>
      <c r="ARL74" s="278" t="n"/>
      <c r="ARM74" s="278" t="n"/>
      <c r="ARN74" s="278" t="n"/>
      <c r="ARO74" s="278" t="n"/>
      <c r="ARP74" s="278" t="n"/>
      <c r="ARQ74" s="278" t="n"/>
      <c r="ARR74" s="278" t="n"/>
      <c r="ARS74" s="278" t="n"/>
      <c r="ART74" s="278" t="n"/>
      <c r="ARU74" s="278" t="n"/>
      <c r="ARV74" s="278" t="n"/>
      <c r="ARW74" s="278" t="n"/>
      <c r="ARX74" s="278" t="n"/>
      <c r="ARY74" s="278" t="n"/>
      <c r="ARZ74" s="278" t="n"/>
      <c r="ASA74" s="278" t="n"/>
      <c r="ASB74" s="278" t="n"/>
      <c r="ASC74" s="278" t="n"/>
      <c r="ASD74" s="278" t="n"/>
      <c r="ASE74" s="278" t="n"/>
      <c r="ASF74" s="278" t="n"/>
      <c r="ASG74" s="278" t="n"/>
      <c r="ASH74" s="278" t="n"/>
      <c r="ASI74" s="278" t="n"/>
      <c r="ASJ74" s="278" t="n"/>
      <c r="ASK74" s="278" t="n"/>
      <c r="ASL74" s="278" t="n"/>
      <c r="ASM74" s="278" t="n"/>
      <c r="ASN74" s="278" t="n"/>
      <c r="ASO74" s="278" t="n"/>
      <c r="ASP74" s="278" t="n"/>
      <c r="ASQ74" s="278" t="n"/>
      <c r="ASR74" s="278" t="n"/>
      <c r="ASS74" s="278" t="n"/>
      <c r="AST74" s="278" t="n"/>
      <c r="ASU74" s="278" t="n"/>
      <c r="ASV74" s="278" t="n"/>
      <c r="ASW74" s="278" t="n"/>
      <c r="ASX74" s="278" t="n"/>
      <c r="ASY74" s="278" t="n"/>
      <c r="ASZ74" s="278" t="n"/>
      <c r="ATA74" s="278" t="n"/>
      <c r="ATB74" s="278" t="n"/>
      <c r="ATC74" s="278" t="n"/>
      <c r="ATD74" s="278" t="n"/>
      <c r="ATE74" s="278" t="n"/>
      <c r="ATF74" s="278" t="n"/>
      <c r="ATG74" s="278" t="n"/>
      <c r="ATH74" s="278" t="n"/>
      <c r="ATI74" s="278" t="n"/>
      <c r="ATJ74" s="278" t="n"/>
      <c r="ATK74" s="278" t="n"/>
      <c r="ATL74" s="278" t="n"/>
      <c r="ATM74" s="278" t="n"/>
      <c r="ATN74" s="278" t="n"/>
      <c r="ATO74" s="278" t="n"/>
      <c r="ATP74" s="278" t="n"/>
      <c r="ATQ74" s="278" t="n"/>
      <c r="ATR74" s="278" t="n"/>
      <c r="ATS74" s="278" t="n"/>
      <c r="ATT74" s="278" t="n"/>
      <c r="ATU74" s="278" t="n"/>
      <c r="ATV74" s="278" t="n"/>
      <c r="ATW74" s="278" t="n"/>
      <c r="ATX74" s="278" t="n"/>
      <c r="ATY74" s="278" t="n"/>
      <c r="ATZ74" s="278" t="n"/>
      <c r="AUA74" s="278" t="n"/>
      <c r="AUB74" s="278" t="n"/>
      <c r="AUC74" s="278" t="n"/>
      <c r="AUD74" s="278" t="n"/>
      <c r="AUE74" s="278" t="n"/>
      <c r="AUF74" s="278" t="n"/>
      <c r="AUG74" s="278" t="n"/>
      <c r="AUH74" s="278" t="n"/>
      <c r="AUI74" s="278" t="n"/>
      <c r="AUJ74" s="278" t="n"/>
      <c r="AUK74" s="278" t="n"/>
      <c r="AUL74" s="278" t="n"/>
      <c r="AUM74" s="278" t="n"/>
      <c r="AUN74" s="278" t="n"/>
      <c r="AUO74" s="278" t="n"/>
      <c r="AUP74" s="278" t="n"/>
      <c r="AUQ74" s="278" t="n"/>
      <c r="AUR74" s="278" t="n"/>
      <c r="AUS74" s="278" t="n"/>
      <c r="AUT74" s="278" t="n"/>
      <c r="AUU74" s="278" t="n"/>
      <c r="AUV74" s="278" t="n"/>
      <c r="AUW74" s="278" t="n"/>
      <c r="AUX74" s="278" t="n"/>
      <c r="AUY74" s="278" t="n"/>
      <c r="AUZ74" s="278" t="n"/>
      <c r="AVA74" s="278" t="n"/>
      <c r="AVB74" s="278" t="n"/>
      <c r="AVC74" s="278" t="n"/>
      <c r="AVD74" s="278" t="n"/>
      <c r="AVE74" s="278" t="n"/>
      <c r="AVF74" s="278" t="n"/>
      <c r="AVG74" s="278" t="n"/>
      <c r="AVH74" s="278" t="n"/>
      <c r="AVI74" s="278" t="n"/>
      <c r="AVJ74" s="278" t="n"/>
      <c r="AVK74" s="278" t="n"/>
      <c r="AVL74" s="278" t="n"/>
      <c r="AVM74" s="278" t="n"/>
      <c r="AVN74" s="278" t="n"/>
      <c r="AVO74" s="278" t="n"/>
      <c r="AVP74" s="278" t="n"/>
      <c r="AVQ74" s="278" t="n"/>
      <c r="AVR74" s="278" t="n"/>
      <c r="AVS74" s="278" t="n"/>
      <c r="AVT74" s="278" t="n"/>
      <c r="AVU74" s="278" t="n"/>
      <c r="AVV74" s="278" t="n"/>
      <c r="AVW74" s="278" t="n"/>
      <c r="AVX74" s="278" t="n"/>
      <c r="AVY74" s="278" t="n"/>
      <c r="AVZ74" s="278" t="n"/>
      <c r="AWA74" s="278" t="n"/>
      <c r="AWB74" s="278" t="n"/>
      <c r="AWC74" s="278" t="n"/>
      <c r="AWD74" s="278" t="n"/>
      <c r="AWE74" s="278" t="n"/>
      <c r="AWF74" s="278" t="n"/>
      <c r="AWG74" s="278" t="n"/>
      <c r="AWH74" s="278" t="n"/>
      <c r="AWI74" s="278" t="n"/>
      <c r="AWJ74" s="278" t="n"/>
      <c r="AWK74" s="278" t="n"/>
      <c r="AWL74" s="278" t="n"/>
      <c r="AWM74" s="278" t="n"/>
      <c r="AWN74" s="278" t="n"/>
      <c r="AWO74" s="278" t="n"/>
      <c r="AWP74" s="278" t="n"/>
      <c r="AWQ74" s="278" t="n"/>
      <c r="AWR74" s="278" t="n"/>
      <c r="AWS74" s="278" t="n"/>
      <c r="AWT74" s="278" t="n"/>
      <c r="AWU74" s="278" t="n"/>
      <c r="AWV74" s="278" t="n"/>
      <c r="AWW74" s="278" t="n"/>
      <c r="AWX74" s="278" t="n"/>
      <c r="AWY74" s="278" t="n"/>
      <c r="AWZ74" s="278" t="n"/>
      <c r="AXA74" s="278" t="n"/>
      <c r="AXB74" s="278" t="n"/>
      <c r="AXC74" s="278" t="n"/>
      <c r="AXD74" s="278" t="n"/>
      <c r="AXE74" s="278" t="n"/>
      <c r="AXF74" s="278" t="n"/>
      <c r="AXG74" s="278" t="n"/>
      <c r="AXH74" s="278" t="n"/>
      <c r="AXI74" s="278" t="n"/>
      <c r="AXJ74" s="278" t="n"/>
      <c r="AXK74" s="278" t="n"/>
      <c r="AXL74" s="278" t="n"/>
      <c r="AXM74" s="278" t="n"/>
      <c r="AXN74" s="278" t="n"/>
      <c r="AXO74" s="278" t="n"/>
      <c r="AXP74" s="278" t="n"/>
      <c r="AXQ74" s="278" t="n"/>
      <c r="AXR74" s="278" t="n"/>
      <c r="AXS74" s="278" t="n"/>
      <c r="AXT74" s="278" t="n"/>
      <c r="AXU74" s="278" t="n"/>
      <c r="AXV74" s="278" t="n"/>
      <c r="AXW74" s="278" t="n"/>
      <c r="AXX74" s="278" t="n"/>
      <c r="AXY74" s="278" t="n"/>
      <c r="AXZ74" s="278" t="n"/>
      <c r="AYA74" s="278" t="n"/>
      <c r="AYB74" s="278" t="n"/>
      <c r="AYC74" s="278" t="n"/>
      <c r="AYD74" s="278" t="n"/>
      <c r="AYE74" s="278" t="n"/>
      <c r="AYF74" s="278" t="n"/>
      <c r="AYG74" s="278" t="n"/>
      <c r="AYH74" s="278" t="n"/>
      <c r="AYI74" s="278" t="n"/>
      <c r="AYJ74" s="278" t="n"/>
      <c r="AYK74" s="278" t="n"/>
      <c r="AYL74" s="278" t="n"/>
      <c r="AYM74" s="278" t="n"/>
      <c r="AYN74" s="278" t="n"/>
      <c r="AYO74" s="278" t="n"/>
      <c r="AYP74" s="278" t="n"/>
      <c r="AYQ74" s="278" t="n"/>
      <c r="AYR74" s="278" t="n"/>
      <c r="AYS74" s="278" t="n"/>
      <c r="AYT74" s="278" t="n"/>
      <c r="AYU74" s="278" t="n"/>
      <c r="AYV74" s="278" t="n"/>
      <c r="AYW74" s="278" t="n"/>
      <c r="AYX74" s="278" t="n"/>
      <c r="AYY74" s="278" t="n"/>
      <c r="AYZ74" s="278" t="n"/>
      <c r="AZA74" s="278" t="n"/>
      <c r="AZB74" s="278" t="n"/>
      <c r="AZC74" s="278" t="n"/>
      <c r="AZD74" s="278" t="n"/>
      <c r="AZE74" s="278" t="n"/>
      <c r="AZF74" s="278" t="n"/>
      <c r="AZG74" s="278" t="n"/>
      <c r="AZH74" s="278" t="n"/>
      <c r="AZI74" s="278" t="n"/>
      <c r="AZJ74" s="278" t="n"/>
      <c r="AZK74" s="278" t="n"/>
      <c r="AZL74" s="278" t="n"/>
      <c r="AZM74" s="278" t="n"/>
      <c r="AZN74" s="278" t="n"/>
      <c r="AZO74" s="278" t="n"/>
      <c r="AZP74" s="278" t="n"/>
      <c r="AZQ74" s="278" t="n"/>
      <c r="AZR74" s="278" t="n"/>
      <c r="AZS74" s="278" t="n"/>
      <c r="AZT74" s="278" t="n"/>
      <c r="AZU74" s="278" t="n"/>
      <c r="AZV74" s="278" t="n"/>
      <c r="AZW74" s="278" t="n"/>
      <c r="AZX74" s="278" t="n"/>
      <c r="AZY74" s="278" t="n"/>
      <c r="AZZ74" s="278" t="n"/>
      <c r="BAA74" s="278" t="n"/>
      <c r="BAB74" s="278" t="n"/>
      <c r="BAC74" s="278" t="n"/>
      <c r="BAD74" s="278" t="n"/>
      <c r="BAE74" s="278" t="n"/>
      <c r="BAF74" s="278" t="n"/>
      <c r="BAG74" s="278" t="n"/>
      <c r="BAH74" s="278" t="n"/>
      <c r="BAI74" s="278" t="n"/>
      <c r="BAJ74" s="278" t="n"/>
      <c r="BAK74" s="278" t="n"/>
      <c r="BAL74" s="278" t="n"/>
      <c r="BAM74" s="278" t="n"/>
      <c r="BAN74" s="278" t="n"/>
      <c r="BAO74" s="278" t="n"/>
      <c r="BAP74" s="278" t="n"/>
      <c r="BAQ74" s="278" t="n"/>
      <c r="BAR74" s="278" t="n"/>
      <c r="BAS74" s="278" t="n"/>
      <c r="BAT74" s="278" t="n"/>
      <c r="BAU74" s="278" t="n"/>
      <c r="BAV74" s="278" t="n"/>
      <c r="BAW74" s="278" t="n"/>
      <c r="BAX74" s="278" t="n"/>
      <c r="BAY74" s="278" t="n"/>
      <c r="BAZ74" s="278" t="n"/>
      <c r="BBA74" s="278" t="n"/>
      <c r="BBB74" s="278" t="n"/>
      <c r="BBC74" s="278" t="n"/>
      <c r="BBD74" s="278" t="n"/>
      <c r="BBE74" s="278" t="n"/>
      <c r="BBF74" s="278" t="n"/>
      <c r="BBG74" s="278" t="n"/>
      <c r="BBH74" s="278" t="n"/>
      <c r="BBI74" s="278" t="n"/>
      <c r="BBJ74" s="278" t="n"/>
      <c r="BBK74" s="278" t="n"/>
      <c r="BBL74" s="278" t="n"/>
      <c r="BBM74" s="278" t="n"/>
      <c r="BBN74" s="278" t="n"/>
      <c r="BBO74" s="278" t="n"/>
      <c r="BBP74" s="278" t="n"/>
      <c r="BBQ74" s="278" t="n"/>
      <c r="BBR74" s="278" t="n"/>
      <c r="BBS74" s="278" t="n"/>
      <c r="BBT74" s="278" t="n"/>
      <c r="BBU74" s="278" t="n"/>
      <c r="BBV74" s="278" t="n"/>
      <c r="BBW74" s="278" t="n"/>
      <c r="BBX74" s="278" t="n"/>
      <c r="BBY74" s="278" t="n"/>
      <c r="BBZ74" s="278" t="n"/>
      <c r="BCA74" s="278" t="n"/>
      <c r="BCB74" s="278" t="n"/>
      <c r="BCC74" s="278" t="n"/>
      <c r="BCD74" s="278" t="n"/>
      <c r="BCE74" s="278" t="n"/>
      <c r="BCF74" s="278" t="n"/>
      <c r="BCG74" s="278" t="n"/>
      <c r="BCH74" s="278" t="n"/>
      <c r="BCI74" s="278" t="n"/>
      <c r="BCJ74" s="278" t="n"/>
      <c r="BCK74" s="278" t="n"/>
      <c r="BCL74" s="278" t="n"/>
      <c r="BCM74" s="278" t="n"/>
      <c r="BCN74" s="278" t="n"/>
      <c r="BCO74" s="278" t="n"/>
      <c r="BCP74" s="278" t="n"/>
      <c r="BCQ74" s="278" t="n"/>
      <c r="BCR74" s="278" t="n"/>
      <c r="BCS74" s="278" t="n"/>
      <c r="BCT74" s="278" t="n"/>
      <c r="BCU74" s="278" t="n"/>
      <c r="BCV74" s="278" t="n"/>
      <c r="BCW74" s="278" t="n"/>
      <c r="BCX74" s="278" t="n"/>
      <c r="BCY74" s="278" t="n"/>
      <c r="BCZ74" s="278" t="n"/>
      <c r="BDA74" s="278" t="n"/>
      <c r="BDB74" s="278" t="n"/>
      <c r="BDC74" s="278" t="n"/>
      <c r="BDD74" s="278" t="n"/>
      <c r="BDE74" s="278" t="n"/>
      <c r="BDF74" s="278" t="n"/>
      <c r="BDG74" s="278" t="n"/>
      <c r="BDH74" s="278" t="n"/>
      <c r="BDI74" s="278" t="n"/>
      <c r="BDJ74" s="278" t="n"/>
      <c r="BDK74" s="278" t="n"/>
      <c r="BDL74" s="278" t="n"/>
      <c r="BDM74" s="278" t="n"/>
      <c r="BDN74" s="278" t="n"/>
      <c r="BDO74" s="278" t="n"/>
      <c r="BDP74" s="278" t="n"/>
      <c r="BDQ74" s="278" t="n"/>
      <c r="BDR74" s="278" t="n"/>
      <c r="BDS74" s="278" t="n"/>
      <c r="BDT74" s="278" t="n"/>
      <c r="BDU74" s="278" t="n"/>
      <c r="BDV74" s="278" t="n"/>
      <c r="BDW74" s="278" t="n"/>
      <c r="BDX74" s="278" t="n"/>
      <c r="BDY74" s="278" t="n"/>
      <c r="BDZ74" s="278" t="n"/>
      <c r="BEA74" s="278" t="n"/>
      <c r="BEB74" s="278" t="n"/>
      <c r="BEC74" s="278" t="n"/>
      <c r="BED74" s="278" t="n"/>
      <c r="BEE74" s="278" t="n"/>
      <c r="BEF74" s="278" t="n"/>
      <c r="BEG74" s="278" t="n"/>
      <c r="BEH74" s="278" t="n"/>
      <c r="BEI74" s="278" t="n"/>
      <c r="BEJ74" s="278" t="n"/>
      <c r="BEK74" s="278" t="n"/>
      <c r="BEL74" s="278" t="n"/>
      <c r="BEM74" s="278" t="n"/>
      <c r="BEN74" s="278" t="n"/>
      <c r="BEO74" s="278" t="n"/>
      <c r="BEP74" s="278" t="n"/>
      <c r="BEQ74" s="278" t="n"/>
      <c r="BER74" s="278" t="n"/>
      <c r="BES74" s="278" t="n"/>
      <c r="BET74" s="278" t="n"/>
      <c r="BEU74" s="278" t="n"/>
      <c r="BEV74" s="278" t="n"/>
      <c r="BEW74" s="278" t="n"/>
      <c r="BEX74" s="278" t="n"/>
      <c r="BEY74" s="278" t="n"/>
      <c r="BEZ74" s="278" t="n"/>
      <c r="BFA74" s="278" t="n"/>
      <c r="BFB74" s="278" t="n"/>
      <c r="BFC74" s="278" t="n"/>
      <c r="BFD74" s="278" t="n"/>
      <c r="BFE74" s="278" t="n"/>
      <c r="BFF74" s="278" t="n"/>
      <c r="BFG74" s="278" t="n"/>
      <c r="BFH74" s="278" t="n"/>
      <c r="BFI74" s="278" t="n"/>
      <c r="BFJ74" s="278" t="n"/>
      <c r="BFK74" s="278" t="n"/>
      <c r="BFL74" s="278" t="n"/>
      <c r="BFM74" s="278" t="n"/>
      <c r="BFN74" s="278" t="n"/>
      <c r="BFO74" s="278" t="n"/>
      <c r="BFP74" s="278" t="n"/>
      <c r="BFQ74" s="278" t="n"/>
      <c r="BFR74" s="278" t="n"/>
      <c r="BFS74" s="278" t="n"/>
      <c r="BFT74" s="278" t="n"/>
      <c r="BFU74" s="278" t="n"/>
      <c r="BFV74" s="278" t="n"/>
      <c r="BFW74" s="278" t="n"/>
      <c r="BFX74" s="278" t="n"/>
      <c r="BFY74" s="278" t="n"/>
      <c r="BFZ74" s="278" t="n"/>
      <c r="BGA74" s="278" t="n"/>
      <c r="BGB74" s="278" t="n"/>
      <c r="BGC74" s="278" t="n"/>
      <c r="BGD74" s="278" t="n"/>
      <c r="BGE74" s="278" t="n"/>
      <c r="BGF74" s="278" t="n"/>
      <c r="BGG74" s="278" t="n"/>
      <c r="BGH74" s="278" t="n"/>
      <c r="BGI74" s="278" t="n"/>
      <c r="BGJ74" s="278" t="n"/>
      <c r="BGK74" s="278" t="n"/>
      <c r="BGL74" s="278" t="n"/>
      <c r="BGM74" s="278" t="n"/>
      <c r="BGN74" s="278" t="n"/>
      <c r="BGO74" s="278" t="n"/>
      <c r="BGP74" s="278" t="n"/>
      <c r="BGQ74" s="278" t="n"/>
      <c r="BGR74" s="278" t="n"/>
      <c r="BGS74" s="278" t="n"/>
      <c r="BGT74" s="278" t="n"/>
      <c r="BGU74" s="278" t="n"/>
      <c r="BGV74" s="278" t="n"/>
      <c r="BGW74" s="278" t="n"/>
      <c r="BGX74" s="278" t="n"/>
      <c r="BGY74" s="278" t="n"/>
      <c r="BGZ74" s="278" t="n"/>
      <c r="BHA74" s="278" t="n"/>
      <c r="BHB74" s="278" t="n"/>
      <c r="BHC74" s="278" t="n"/>
      <c r="BHD74" s="278" t="n"/>
      <c r="BHE74" s="278" t="n"/>
      <c r="BHF74" s="278" t="n"/>
      <c r="BHG74" s="278" t="n"/>
      <c r="BHH74" s="278" t="n"/>
      <c r="BHI74" s="278" t="n"/>
      <c r="BHJ74" s="278" t="n"/>
      <c r="BHK74" s="278" t="n"/>
      <c r="BHL74" s="278" t="n"/>
      <c r="BHM74" s="278" t="n"/>
      <c r="BHN74" s="278" t="n"/>
      <c r="BHO74" s="278" t="n"/>
      <c r="BHP74" s="278" t="n"/>
      <c r="BHQ74" s="278" t="n"/>
      <c r="BHR74" s="278" t="n"/>
      <c r="BHS74" s="278" t="n"/>
      <c r="BHT74" s="278" t="n"/>
      <c r="BHU74" s="278" t="n"/>
      <c r="BHV74" s="278" t="n"/>
      <c r="BHW74" s="278" t="n"/>
      <c r="BHX74" s="278" t="n"/>
      <c r="BHY74" s="278" t="n"/>
      <c r="BHZ74" s="278" t="n"/>
      <c r="BIA74" s="278" t="n"/>
      <c r="BIB74" s="278" t="n"/>
      <c r="BIC74" s="278" t="n"/>
      <c r="BID74" s="278" t="n"/>
      <c r="BIE74" s="278" t="n"/>
      <c r="BIF74" s="278" t="n"/>
      <c r="BIG74" s="278" t="n"/>
      <c r="BIH74" s="278" t="n"/>
      <c r="BII74" s="278" t="n"/>
      <c r="BIJ74" s="278" t="n"/>
      <c r="BIK74" s="278" t="n"/>
      <c r="BIL74" s="278" t="n"/>
      <c r="BIM74" s="278" t="n"/>
      <c r="BIN74" s="278" t="n"/>
      <c r="BIO74" s="278" t="n"/>
      <c r="BIP74" s="278" t="n"/>
      <c r="BIQ74" s="278" t="n"/>
      <c r="BIR74" s="278" t="n"/>
      <c r="BIS74" s="278" t="n"/>
      <c r="BIT74" s="278" t="n"/>
      <c r="BIU74" s="278" t="n"/>
      <c r="BIV74" s="278" t="n"/>
      <c r="BIW74" s="278" t="n"/>
      <c r="BIX74" s="278" t="n"/>
      <c r="BIY74" s="278" t="n"/>
      <c r="BIZ74" s="278" t="n"/>
      <c r="BJA74" s="278" t="n"/>
      <c r="BJB74" s="278" t="n"/>
      <c r="BJC74" s="278" t="n"/>
      <c r="BJD74" s="278" t="n"/>
      <c r="BJE74" s="278" t="n"/>
      <c r="BJF74" s="278" t="n"/>
      <c r="BJG74" s="278" t="n"/>
      <c r="BJH74" s="278" t="n"/>
      <c r="BJI74" s="278" t="n"/>
      <c r="BJJ74" s="278" t="n"/>
      <c r="BJK74" s="278" t="n"/>
      <c r="BJL74" s="278" t="n"/>
      <c r="BJM74" s="278" t="n"/>
      <c r="BJN74" s="278" t="n"/>
      <c r="BJO74" s="278" t="n"/>
      <c r="BJP74" s="278" t="n"/>
      <c r="BJQ74" s="278" t="n"/>
      <c r="BJR74" s="278" t="n"/>
      <c r="BJS74" s="278" t="n"/>
      <c r="BJT74" s="278" t="n"/>
      <c r="BJU74" s="278" t="n"/>
      <c r="BJV74" s="278" t="n"/>
      <c r="BJW74" s="278" t="n"/>
      <c r="BJX74" s="278" t="n"/>
      <c r="BJY74" s="278" t="n"/>
      <c r="BJZ74" s="278" t="n"/>
      <c r="BKA74" s="278" t="n"/>
      <c r="BKB74" s="278" t="n"/>
      <c r="BKC74" s="278" t="n"/>
      <c r="BKD74" s="278" t="n"/>
      <c r="BKE74" s="278" t="n"/>
      <c r="BKF74" s="278" t="n"/>
      <c r="BKG74" s="278" t="n"/>
      <c r="BKH74" s="278" t="n"/>
      <c r="BKI74" s="278" t="n"/>
      <c r="BKJ74" s="278" t="n"/>
      <c r="BKK74" s="278" t="n"/>
      <c r="BKL74" s="278" t="n"/>
      <c r="BKM74" s="278" t="n"/>
      <c r="BKN74" s="278" t="n"/>
      <c r="BKO74" s="278" t="n"/>
      <c r="BKP74" s="278" t="n"/>
      <c r="BKQ74" s="278" t="n"/>
      <c r="BKR74" s="278" t="n"/>
      <c r="BKS74" s="278" t="n"/>
      <c r="BKT74" s="278" t="n"/>
      <c r="BKU74" s="278" t="n"/>
      <c r="BKV74" s="278" t="n"/>
      <c r="BKW74" s="278" t="n"/>
      <c r="BKX74" s="278" t="n"/>
      <c r="BKY74" s="278" t="n"/>
      <c r="BKZ74" s="278" t="n"/>
      <c r="BLA74" s="278" t="n"/>
      <c r="BLB74" s="278" t="n"/>
      <c r="BLC74" s="278" t="n"/>
      <c r="BLD74" s="278" t="n"/>
      <c r="BLE74" s="278" t="n"/>
      <c r="BLF74" s="278" t="n"/>
      <c r="BLG74" s="278" t="n"/>
      <c r="BLH74" s="278" t="n"/>
      <c r="BLI74" s="278" t="n"/>
      <c r="BLJ74" s="278" t="n"/>
      <c r="BLK74" s="278" t="n"/>
      <c r="BLL74" s="278" t="n"/>
      <c r="BLM74" s="278" t="n"/>
      <c r="BLN74" s="278" t="n"/>
      <c r="BLO74" s="278" t="n"/>
      <c r="BLP74" s="278" t="n"/>
      <c r="BLQ74" s="278" t="n"/>
      <c r="BLR74" s="278" t="n"/>
      <c r="BLS74" s="278" t="n"/>
      <c r="BLT74" s="278" t="n"/>
      <c r="BLU74" s="278" t="n"/>
      <c r="BLV74" s="278" t="n"/>
      <c r="BLW74" s="278" t="n"/>
      <c r="BLX74" s="278" t="n"/>
      <c r="BLY74" s="278" t="n"/>
      <c r="BLZ74" s="278" t="n"/>
      <c r="BMA74" s="278" t="n"/>
      <c r="BMB74" s="278" t="n"/>
      <c r="BMC74" s="278" t="n"/>
      <c r="BMD74" s="278" t="n"/>
      <c r="BME74" s="278" t="n"/>
      <c r="BMF74" s="278" t="n"/>
      <c r="BMG74" s="278" t="n"/>
      <c r="BMH74" s="278" t="n"/>
      <c r="BMI74" s="278" t="n"/>
      <c r="BMJ74" s="278" t="n"/>
      <c r="BMK74" s="278" t="n"/>
      <c r="BML74" s="278" t="n"/>
      <c r="BMM74" s="278" t="n"/>
      <c r="BMN74" s="278" t="n"/>
      <c r="BMO74" s="278" t="n"/>
      <c r="BMP74" s="278" t="n"/>
      <c r="BMQ74" s="278" t="n"/>
      <c r="BMR74" s="278" t="n"/>
      <c r="BMS74" s="278" t="n"/>
      <c r="BMT74" s="278" t="n"/>
      <c r="BMU74" s="278" t="n"/>
      <c r="BMV74" s="278" t="n"/>
      <c r="BMW74" s="278" t="n"/>
      <c r="BMX74" s="278" t="n"/>
      <c r="BMY74" s="278" t="n"/>
      <c r="BMZ74" s="278" t="n"/>
      <c r="BNA74" s="278" t="n"/>
      <c r="BNB74" s="278" t="n"/>
      <c r="BNC74" s="278" t="n"/>
      <c r="BND74" s="278" t="n"/>
      <c r="BNE74" s="278" t="n"/>
      <c r="BNF74" s="278" t="n"/>
      <c r="BNG74" s="278" t="n"/>
      <c r="BNH74" s="278" t="n"/>
      <c r="BNI74" s="278" t="n"/>
      <c r="BNJ74" s="278" t="n"/>
      <c r="BNK74" s="278" t="n"/>
      <c r="BNL74" s="278" t="n"/>
      <c r="BNM74" s="278" t="n"/>
      <c r="BNN74" s="278" t="n"/>
      <c r="BNO74" s="278" t="n"/>
      <c r="BNP74" s="278" t="n"/>
      <c r="BNQ74" s="278" t="n"/>
      <c r="BNR74" s="278" t="n"/>
      <c r="BNS74" s="278" t="n"/>
      <c r="BNT74" s="278" t="n"/>
      <c r="BNU74" s="278" t="n"/>
      <c r="BNV74" s="278" t="n"/>
      <c r="BNW74" s="278" t="n"/>
      <c r="BNX74" s="278" t="n"/>
      <c r="BNY74" s="278" t="n"/>
      <c r="BNZ74" s="278" t="n"/>
      <c r="BOA74" s="278" t="n"/>
      <c r="BOB74" s="278" t="n"/>
      <c r="BOC74" s="278" t="n"/>
      <c r="BOD74" s="278" t="n"/>
      <c r="BOE74" s="278" t="n"/>
      <c r="BOF74" s="278" t="n"/>
      <c r="BOG74" s="278" t="n"/>
      <c r="BOH74" s="278" t="n"/>
      <c r="BOI74" s="278" t="n"/>
      <c r="BOJ74" s="278" t="n"/>
      <c r="BOK74" s="278" t="n"/>
      <c r="BOL74" s="278" t="n"/>
      <c r="BOM74" s="278" t="n"/>
      <c r="BON74" s="278" t="n"/>
      <c r="BOO74" s="278" t="n"/>
      <c r="BOP74" s="278" t="n"/>
      <c r="BOQ74" s="278" t="n"/>
      <c r="BOR74" s="278" t="n"/>
      <c r="BOS74" s="278" t="n"/>
      <c r="BOT74" s="278" t="n"/>
      <c r="BOU74" s="278" t="n"/>
      <c r="BOV74" s="278" t="n"/>
      <c r="BOW74" s="278" t="n"/>
      <c r="BOX74" s="278" t="n"/>
      <c r="BOY74" s="278" t="n"/>
      <c r="BOZ74" s="278" t="n"/>
      <c r="BPA74" s="278" t="n"/>
      <c r="BPB74" s="278" t="n"/>
      <c r="BPC74" s="278" t="n"/>
      <c r="BPD74" s="278" t="n"/>
      <c r="BPE74" s="278" t="n"/>
      <c r="BPF74" s="278" t="n"/>
      <c r="BPG74" s="278" t="n"/>
      <c r="BPH74" s="278" t="n"/>
      <c r="BPI74" s="278" t="n"/>
      <c r="BPJ74" s="278" t="n"/>
      <c r="BPK74" s="278" t="n"/>
      <c r="BPL74" s="278" t="n"/>
      <c r="BPM74" s="278" t="n"/>
      <c r="BPN74" s="278" t="n"/>
      <c r="BPO74" s="278" t="n"/>
      <c r="BPP74" s="278" t="n"/>
      <c r="BPQ74" s="278" t="n"/>
      <c r="BPR74" s="278" t="n"/>
      <c r="BPS74" s="278" t="n"/>
      <c r="BPT74" s="278" t="n"/>
      <c r="BPU74" s="278" t="n"/>
      <c r="BPV74" s="278" t="n"/>
      <c r="BPW74" s="278" t="n"/>
      <c r="BPX74" s="278" t="n"/>
      <c r="BPY74" s="278" t="n"/>
      <c r="BPZ74" s="278" t="n"/>
      <c r="BQA74" s="278" t="n"/>
      <c r="BQB74" s="278" t="n"/>
      <c r="BQC74" s="278" t="n"/>
      <c r="BQD74" s="278" t="n"/>
      <c r="BQE74" s="278" t="n"/>
      <c r="BQF74" s="278" t="n"/>
      <c r="BQG74" s="278" t="n"/>
      <c r="BQH74" s="278" t="n"/>
      <c r="BQI74" s="278" t="n"/>
      <c r="BQJ74" s="278" t="n"/>
      <c r="BQK74" s="278" t="n"/>
      <c r="BQL74" s="278" t="n"/>
      <c r="BQM74" s="278" t="n"/>
      <c r="BQN74" s="278" t="n"/>
      <c r="BQO74" s="278" t="n"/>
      <c r="BQP74" s="278" t="n"/>
      <c r="BQQ74" s="278" t="n"/>
      <c r="BQR74" s="278" t="n"/>
      <c r="BQS74" s="278" t="n"/>
      <c r="BQT74" s="278" t="n"/>
      <c r="BQU74" s="278" t="n"/>
      <c r="BQV74" s="278" t="n"/>
      <c r="BQW74" s="278" t="n"/>
      <c r="BQX74" s="278" t="n"/>
      <c r="BQY74" s="278" t="n"/>
      <c r="BQZ74" s="278" t="n"/>
      <c r="BRA74" s="278" t="n"/>
      <c r="BRB74" s="278" t="n"/>
      <c r="BRC74" s="278" t="n"/>
      <c r="BRD74" s="278" t="n"/>
      <c r="BRE74" s="278" t="n"/>
      <c r="BRF74" s="278" t="n"/>
      <c r="BRG74" s="278" t="n"/>
      <c r="BRH74" s="278" t="n"/>
      <c r="BRI74" s="278" t="n"/>
      <c r="BRJ74" s="278" t="n"/>
      <c r="BRK74" s="278" t="n"/>
      <c r="BRL74" s="278" t="n"/>
      <c r="BRM74" s="278" t="n"/>
      <c r="BRN74" s="278" t="n"/>
      <c r="BRO74" s="278" t="n"/>
      <c r="BRP74" s="278" t="n"/>
      <c r="BRQ74" s="278" t="n"/>
      <c r="BRR74" s="278" t="n"/>
      <c r="BRS74" s="278" t="n"/>
      <c r="BRT74" s="278" t="n"/>
      <c r="BRU74" s="278" t="n"/>
      <c r="BRV74" s="278" t="n"/>
      <c r="BRW74" s="278" t="n"/>
      <c r="BRX74" s="278" t="n"/>
      <c r="BRY74" s="278" t="n"/>
      <c r="BRZ74" s="278" t="n"/>
      <c r="BSA74" s="278" t="n"/>
      <c r="BSB74" s="278" t="n"/>
      <c r="BSC74" s="278" t="n"/>
      <c r="BSD74" s="278" t="n"/>
      <c r="BSE74" s="278" t="n"/>
      <c r="BSF74" s="278" t="n"/>
      <c r="BSG74" s="278" t="n"/>
      <c r="BSH74" s="278" t="n"/>
      <c r="BSI74" s="278" t="n"/>
      <c r="BSJ74" s="278" t="n"/>
      <c r="BSK74" s="278" t="n"/>
      <c r="BSL74" s="278" t="n"/>
      <c r="BSM74" s="278" t="n"/>
      <c r="BSN74" s="278" t="n"/>
      <c r="BSO74" s="278" t="n"/>
      <c r="BSP74" s="278" t="n"/>
      <c r="BSQ74" s="278" t="n"/>
      <c r="BSR74" s="278" t="n"/>
      <c r="BSS74" s="278" t="n"/>
      <c r="BST74" s="278" t="n"/>
      <c r="BSU74" s="278" t="n"/>
      <c r="BSV74" s="278" t="n"/>
      <c r="BSW74" s="278" t="n"/>
      <c r="BSX74" s="278" t="n"/>
      <c r="BSY74" s="278" t="n"/>
      <c r="BSZ74" s="278" t="n"/>
      <c r="BTA74" s="278" t="n"/>
      <c r="BTB74" s="278" t="n"/>
      <c r="BTC74" s="278" t="n"/>
      <c r="BTD74" s="278" t="n"/>
      <c r="BTE74" s="278" t="n"/>
      <c r="BTF74" s="278" t="n"/>
      <c r="BTG74" s="278" t="n"/>
      <c r="BTH74" s="278" t="n"/>
      <c r="BTI74" s="278" t="n"/>
      <c r="BTJ74" s="278" t="n"/>
      <c r="BTK74" s="278" t="n"/>
      <c r="BTL74" s="278" t="n"/>
      <c r="BTM74" s="278" t="n"/>
      <c r="BTN74" s="278" t="n"/>
      <c r="BTO74" s="278" t="n"/>
      <c r="BTP74" s="278" t="n"/>
      <c r="BTQ74" s="278" t="n"/>
      <c r="BTR74" s="278" t="n"/>
      <c r="BTS74" s="278" t="n"/>
      <c r="BTT74" s="278" t="n"/>
      <c r="BTU74" s="278" t="n"/>
      <c r="BTV74" s="278" t="n"/>
      <c r="BTW74" s="278" t="n"/>
      <c r="BTX74" s="278" t="n"/>
      <c r="BTY74" s="278" t="n"/>
      <c r="BTZ74" s="278" t="n"/>
      <c r="BUA74" s="278" t="n"/>
      <c r="BUB74" s="278" t="n"/>
      <c r="BUC74" s="278" t="n"/>
      <c r="BUD74" s="278" t="n"/>
      <c r="BUE74" s="278" t="n"/>
      <c r="BUF74" s="278" t="n"/>
      <c r="BUG74" s="278" t="n"/>
      <c r="BUH74" s="278" t="n"/>
      <c r="BUI74" s="278" t="n"/>
      <c r="BUJ74" s="278" t="n"/>
      <c r="BUK74" s="278" t="n"/>
      <c r="BUL74" s="278" t="n"/>
      <c r="BUM74" s="278" t="n"/>
      <c r="BUN74" s="278" t="n"/>
      <c r="BUO74" s="278" t="n"/>
      <c r="BUP74" s="278" t="n"/>
      <c r="BUQ74" s="278" t="n"/>
      <c r="BUR74" s="278" t="n"/>
      <c r="BUS74" s="278" t="n"/>
      <c r="BUT74" s="278" t="n"/>
      <c r="BUU74" s="278" t="n"/>
      <c r="BUV74" s="278" t="n"/>
      <c r="BUW74" s="278" t="n"/>
      <c r="BUX74" s="278" t="n"/>
      <c r="BUY74" s="278" t="n"/>
      <c r="BUZ74" s="278" t="n"/>
      <c r="BVA74" s="278" t="n"/>
      <c r="BVB74" s="278" t="n"/>
      <c r="BVC74" s="278" t="n"/>
      <c r="BVD74" s="278" t="n"/>
      <c r="BVE74" s="278" t="n"/>
      <c r="BVF74" s="278" t="n"/>
      <c r="BVG74" s="278" t="n"/>
      <c r="BVH74" s="278" t="n"/>
      <c r="BVI74" s="278" t="n"/>
      <c r="BVJ74" s="278" t="n"/>
      <c r="BVK74" s="278" t="n"/>
      <c r="BVL74" s="278" t="n"/>
      <c r="BVM74" s="278" t="n"/>
      <c r="BVN74" s="278" t="n"/>
      <c r="BVO74" s="278" t="n"/>
      <c r="BVP74" s="278" t="n"/>
      <c r="BVQ74" s="278" t="n"/>
      <c r="BVR74" s="278" t="n"/>
      <c r="BVS74" s="278" t="n"/>
      <c r="BVT74" s="278" t="n"/>
      <c r="BVU74" s="278" t="n"/>
      <c r="BVV74" s="278" t="n"/>
      <c r="BVW74" s="278" t="n"/>
      <c r="BVX74" s="278" t="n"/>
      <c r="BVY74" s="278" t="n"/>
      <c r="BVZ74" s="278" t="n"/>
      <c r="BWA74" s="278" t="n"/>
      <c r="BWB74" s="278" t="n"/>
      <c r="BWC74" s="278" t="n"/>
      <c r="BWD74" s="278" t="n"/>
      <c r="BWE74" s="278" t="n"/>
      <c r="BWF74" s="278" t="n"/>
      <c r="BWG74" s="278" t="n"/>
      <c r="BWH74" s="278" t="n"/>
      <c r="BWI74" s="278" t="n"/>
      <c r="BWJ74" s="278" t="n"/>
      <c r="BWK74" s="278" t="n"/>
      <c r="BWL74" s="278" t="n"/>
      <c r="BWM74" s="278" t="n"/>
      <c r="BWN74" s="278" t="n"/>
      <c r="BWO74" s="278" t="n"/>
      <c r="BWP74" s="278" t="n"/>
      <c r="BWQ74" s="278" t="n"/>
      <c r="BWR74" s="278" t="n"/>
      <c r="BWS74" s="278" t="n"/>
      <c r="BWT74" s="278" t="n"/>
      <c r="BWU74" s="278" t="n"/>
      <c r="BWV74" s="278" t="n"/>
      <c r="BWW74" s="278" t="n"/>
      <c r="BWX74" s="278" t="n"/>
      <c r="BWY74" s="278" t="n"/>
      <c r="BWZ74" s="278" t="n"/>
      <c r="BXA74" s="278" t="n"/>
      <c r="BXB74" s="278" t="n"/>
      <c r="BXC74" s="278" t="n"/>
      <c r="BXD74" s="278" t="n"/>
      <c r="BXE74" s="278" t="n"/>
      <c r="BXF74" s="278" t="n"/>
      <c r="BXG74" s="278" t="n"/>
      <c r="BXH74" s="278" t="n"/>
      <c r="BXI74" s="278" t="n"/>
      <c r="BXJ74" s="278" t="n"/>
      <c r="BXK74" s="278" t="n"/>
      <c r="BXL74" s="278" t="n"/>
      <c r="BXM74" s="278" t="n"/>
      <c r="BXN74" s="278" t="n"/>
      <c r="BXO74" s="278" t="n"/>
      <c r="BXP74" s="278" t="n"/>
      <c r="BXQ74" s="278" t="n"/>
      <c r="BXR74" s="278" t="n"/>
      <c r="BXS74" s="278" t="n"/>
      <c r="BXT74" s="278" t="n"/>
      <c r="BXU74" s="278" t="n"/>
      <c r="BXV74" s="278" t="n"/>
      <c r="BXW74" s="278" t="n"/>
      <c r="BXX74" s="278" t="n"/>
      <c r="BXY74" s="278" t="n"/>
      <c r="BXZ74" s="278" t="n"/>
      <c r="BYA74" s="278" t="n"/>
      <c r="BYB74" s="278" t="n"/>
      <c r="BYC74" s="278" t="n"/>
      <c r="BYD74" s="278" t="n"/>
      <c r="BYE74" s="278" t="n"/>
      <c r="BYF74" s="278" t="n"/>
      <c r="BYG74" s="278" t="n"/>
      <c r="BYH74" s="278" t="n"/>
      <c r="BYI74" s="278" t="n"/>
      <c r="BYJ74" s="278" t="n"/>
      <c r="BYK74" s="278" t="n"/>
      <c r="BYL74" s="278" t="n"/>
      <c r="BYM74" s="278" t="n"/>
      <c r="BYN74" s="278" t="n"/>
      <c r="BYO74" s="278" t="n"/>
      <c r="BYP74" s="278" t="n"/>
      <c r="BYQ74" s="278" t="n"/>
      <c r="BYR74" s="278" t="n"/>
      <c r="BYS74" s="278" t="n"/>
      <c r="BYT74" s="278" t="n"/>
      <c r="BYU74" s="278" t="n"/>
      <c r="BYV74" s="278" t="n"/>
      <c r="BYW74" s="278" t="n"/>
      <c r="BYX74" s="278" t="n"/>
      <c r="BYY74" s="278" t="n"/>
      <c r="BYZ74" s="278" t="n"/>
      <c r="BZA74" s="278" t="n"/>
      <c r="BZB74" s="278" t="n"/>
      <c r="BZC74" s="278" t="n"/>
      <c r="BZD74" s="278" t="n"/>
      <c r="BZE74" s="278" t="n"/>
      <c r="BZF74" s="278" t="n"/>
      <c r="BZG74" s="278" t="n"/>
      <c r="BZH74" s="278" t="n"/>
      <c r="BZI74" s="278" t="n"/>
      <c r="BZJ74" s="278" t="n"/>
      <c r="BZK74" s="278" t="n"/>
      <c r="BZL74" s="278" t="n"/>
      <c r="BZM74" s="278" t="n"/>
      <c r="BZN74" s="278" t="n"/>
      <c r="BZO74" s="278" t="n"/>
      <c r="BZP74" s="278" t="n"/>
      <c r="BZQ74" s="278" t="n"/>
      <c r="BZR74" s="278" t="n"/>
      <c r="BZS74" s="278" t="n"/>
      <c r="BZT74" s="278" t="n"/>
      <c r="BZU74" s="278" t="n"/>
      <c r="BZV74" s="278" t="n"/>
      <c r="BZW74" s="278" t="n"/>
      <c r="BZX74" s="278" t="n"/>
      <c r="BZY74" s="278" t="n"/>
      <c r="BZZ74" s="278" t="n"/>
      <c r="CAA74" s="278" t="n"/>
      <c r="CAB74" s="278" t="n"/>
      <c r="CAC74" s="278" t="n"/>
      <c r="CAD74" s="278" t="n"/>
      <c r="CAE74" s="278" t="n"/>
      <c r="CAF74" s="278" t="n"/>
      <c r="CAG74" s="278" t="n"/>
      <c r="CAH74" s="278" t="n"/>
      <c r="CAI74" s="278" t="n"/>
      <c r="CAJ74" s="278" t="n"/>
      <c r="CAK74" s="278" t="n"/>
      <c r="CAL74" s="278" t="n"/>
      <c r="CAM74" s="278" t="n"/>
      <c r="CAN74" s="278" t="n"/>
      <c r="CAO74" s="278" t="n"/>
      <c r="CAP74" s="278" t="n"/>
      <c r="CAQ74" s="278" t="n"/>
      <c r="CAR74" s="278" t="n"/>
      <c r="CAS74" s="278" t="n"/>
      <c r="CAT74" s="278" t="n"/>
      <c r="CAU74" s="278" t="n"/>
      <c r="CAV74" s="278" t="n"/>
      <c r="CAW74" s="278" t="n"/>
      <c r="CAX74" s="278" t="n"/>
      <c r="CAY74" s="278" t="n"/>
      <c r="CAZ74" s="278" t="n"/>
      <c r="CBA74" s="278" t="n"/>
      <c r="CBB74" s="278" t="n"/>
      <c r="CBC74" s="278" t="n"/>
      <c r="CBD74" s="278" t="n"/>
      <c r="CBE74" s="278" t="n"/>
      <c r="CBF74" s="278" t="n"/>
      <c r="CBG74" s="278" t="n"/>
      <c r="CBH74" s="278" t="n"/>
      <c r="CBI74" s="278" t="n"/>
      <c r="CBJ74" s="278" t="n"/>
      <c r="CBK74" s="278" t="n"/>
      <c r="CBL74" s="278" t="n"/>
      <c r="CBM74" s="278" t="n"/>
      <c r="CBN74" s="278" t="n"/>
      <c r="CBO74" s="278" t="n"/>
      <c r="CBP74" s="278" t="n"/>
      <c r="CBQ74" s="278" t="n"/>
      <c r="CBR74" s="278" t="n"/>
      <c r="CBS74" s="278" t="n"/>
      <c r="CBT74" s="278" t="n"/>
      <c r="CBU74" s="278" t="n"/>
      <c r="CBV74" s="278" t="n"/>
      <c r="CBW74" s="278" t="n"/>
      <c r="CBX74" s="278" t="n"/>
      <c r="CBY74" s="278" t="n"/>
      <c r="CBZ74" s="278" t="n"/>
      <c r="CCA74" s="278" t="n"/>
      <c r="CCB74" s="278" t="n"/>
      <c r="CCC74" s="278" t="n"/>
      <c r="CCD74" s="278" t="n"/>
      <c r="CCE74" s="278" t="n"/>
      <c r="CCF74" s="278" t="n"/>
      <c r="CCG74" s="278" t="n"/>
      <c r="CCH74" s="278" t="n"/>
      <c r="CCI74" s="278" t="n"/>
      <c r="CCJ74" s="278" t="n"/>
      <c r="CCK74" s="278" t="n"/>
      <c r="CCL74" s="278" t="n"/>
      <c r="CCM74" s="278" t="n"/>
      <c r="CCN74" s="278" t="n"/>
      <c r="CCO74" s="278" t="n"/>
      <c r="CCP74" s="278" t="n"/>
      <c r="CCQ74" s="278" t="n"/>
      <c r="CCR74" s="278" t="n"/>
      <c r="CCS74" s="278" t="n"/>
      <c r="CCT74" s="278" t="n"/>
      <c r="CCU74" s="278" t="n"/>
      <c r="CCV74" s="278" t="n"/>
      <c r="CCW74" s="278" t="n"/>
      <c r="CCX74" s="278" t="n"/>
      <c r="CCY74" s="278" t="n"/>
      <c r="CCZ74" s="278" t="n"/>
      <c r="CDA74" s="278" t="n"/>
      <c r="CDB74" s="278" t="n"/>
      <c r="CDC74" s="278" t="n"/>
      <c r="CDD74" s="278" t="n"/>
      <c r="CDE74" s="278" t="n"/>
      <c r="CDF74" s="278" t="n"/>
      <c r="CDG74" s="278" t="n"/>
      <c r="CDH74" s="278" t="n"/>
      <c r="CDI74" s="278" t="n"/>
      <c r="CDJ74" s="278" t="n"/>
      <c r="CDK74" s="278" t="n"/>
      <c r="CDL74" s="278" t="n"/>
      <c r="CDM74" s="278" t="n"/>
      <c r="CDN74" s="278" t="n"/>
      <c r="CDO74" s="278" t="n"/>
      <c r="CDP74" s="278" t="n"/>
      <c r="CDQ74" s="278" t="n"/>
      <c r="CDR74" s="278" t="n"/>
      <c r="CDS74" s="278" t="n"/>
      <c r="CDT74" s="278" t="n"/>
      <c r="CDU74" s="278" t="n"/>
      <c r="CDV74" s="278" t="n"/>
      <c r="CDW74" s="278" t="n"/>
      <c r="CDX74" s="278" t="n"/>
      <c r="CDY74" s="278" t="n"/>
      <c r="CDZ74" s="278" t="n"/>
      <c r="CEA74" s="278" t="n"/>
      <c r="CEB74" s="278" t="n"/>
      <c r="CEC74" s="278" t="n"/>
      <c r="CED74" s="278" t="n"/>
      <c r="CEE74" s="278" t="n"/>
      <c r="CEF74" s="278" t="n"/>
      <c r="CEG74" s="278" t="n"/>
      <c r="CEH74" s="278" t="n"/>
      <c r="CEI74" s="278" t="n"/>
      <c r="CEJ74" s="278" t="n"/>
      <c r="CEK74" s="278" t="n"/>
      <c r="CEL74" s="278" t="n"/>
      <c r="CEM74" s="278" t="n"/>
      <c r="CEN74" s="278" t="n"/>
      <c r="CEO74" s="278" t="n"/>
      <c r="CEP74" s="278" t="n"/>
      <c r="CEQ74" s="278" t="n"/>
      <c r="CER74" s="278" t="n"/>
      <c r="CES74" s="278" t="n"/>
      <c r="CET74" s="278" t="n"/>
      <c r="CEU74" s="278" t="n"/>
      <c r="CEV74" s="278" t="n"/>
      <c r="CEW74" s="278" t="n"/>
      <c r="CEX74" s="278" t="n"/>
      <c r="CEY74" s="278" t="n"/>
      <c r="CEZ74" s="278" t="n"/>
      <c r="CFA74" s="278" t="n"/>
      <c r="CFB74" s="278" t="n"/>
      <c r="CFC74" s="278" t="n"/>
      <c r="CFD74" s="278" t="n"/>
      <c r="CFE74" s="278" t="n"/>
      <c r="CFF74" s="278" t="n"/>
      <c r="CFG74" s="278" t="n"/>
      <c r="CFH74" s="278" t="n"/>
      <c r="CFI74" s="278" t="n"/>
      <c r="CFJ74" s="278" t="n"/>
      <c r="CFK74" s="278" t="n"/>
      <c r="CFL74" s="278" t="n"/>
      <c r="CFM74" s="278" t="n"/>
      <c r="CFN74" s="278" t="n"/>
      <c r="CFO74" s="278" t="n"/>
      <c r="CFP74" s="278" t="n"/>
      <c r="CFQ74" s="278" t="n"/>
      <c r="CFR74" s="278" t="n"/>
      <c r="CFS74" s="278" t="n"/>
      <c r="CFT74" s="278" t="n"/>
      <c r="CFU74" s="278" t="n"/>
      <c r="CFV74" s="278" t="n"/>
      <c r="CFW74" s="278" t="n"/>
      <c r="CFX74" s="278" t="n"/>
      <c r="CFY74" s="278" t="n"/>
      <c r="CFZ74" s="278" t="n"/>
      <c r="CGA74" s="278" t="n"/>
      <c r="CGB74" s="278" t="n"/>
      <c r="CGC74" s="278" t="n"/>
      <c r="CGD74" s="278" t="n"/>
      <c r="CGE74" s="278" t="n"/>
      <c r="CGF74" s="278" t="n"/>
      <c r="CGG74" s="278" t="n"/>
      <c r="CGH74" s="278" t="n"/>
      <c r="CGI74" s="278" t="n"/>
      <c r="CGJ74" s="278" t="n"/>
      <c r="CGK74" s="278" t="n"/>
      <c r="CGL74" s="278" t="n"/>
      <c r="CGM74" s="278" t="n"/>
      <c r="CGN74" s="278" t="n"/>
      <c r="CGO74" s="278" t="n"/>
      <c r="CGP74" s="278" t="n"/>
      <c r="CGQ74" s="278" t="n"/>
      <c r="CGR74" s="278" t="n"/>
      <c r="CGS74" s="278" t="n"/>
      <c r="CGT74" s="278" t="n"/>
      <c r="CGU74" s="278" t="n"/>
      <c r="CGV74" s="278" t="n"/>
      <c r="CGW74" s="278" t="n"/>
      <c r="CGX74" s="278" t="n"/>
      <c r="CGY74" s="278" t="n"/>
      <c r="CGZ74" s="278" t="n"/>
      <c r="CHA74" s="278" t="n"/>
      <c r="CHB74" s="278" t="n"/>
      <c r="CHC74" s="278" t="n"/>
      <c r="CHD74" s="278" t="n"/>
      <c r="CHE74" s="278" t="n"/>
      <c r="CHF74" s="278" t="n"/>
      <c r="CHG74" s="278" t="n"/>
      <c r="CHH74" s="278" t="n"/>
      <c r="CHI74" s="278" t="n"/>
      <c r="CHJ74" s="278" t="n"/>
      <c r="CHK74" s="278" t="n"/>
      <c r="CHL74" s="278" t="n"/>
      <c r="CHM74" s="278" t="n"/>
      <c r="CHN74" s="278" t="n"/>
      <c r="CHO74" s="278" t="n"/>
      <c r="CHP74" s="278" t="n"/>
      <c r="CHQ74" s="278" t="n"/>
      <c r="CHR74" s="278" t="n"/>
      <c r="CHS74" s="278" t="n"/>
      <c r="CHT74" s="278" t="n"/>
      <c r="CHU74" s="278" t="n"/>
      <c r="CHV74" s="278" t="n"/>
      <c r="CHW74" s="278" t="n"/>
      <c r="CHX74" s="278" t="n"/>
      <c r="CHY74" s="278" t="n"/>
      <c r="CHZ74" s="278" t="n"/>
      <c r="CIA74" s="278" t="n"/>
      <c r="CIB74" s="278" t="n"/>
      <c r="CIC74" s="278" t="n"/>
      <c r="CID74" s="278" t="n"/>
      <c r="CIE74" s="278" t="n"/>
      <c r="CIF74" s="278" t="n"/>
      <c r="CIG74" s="278" t="n"/>
      <c r="CIH74" s="278" t="n"/>
      <c r="CII74" s="278" t="n"/>
      <c r="CIJ74" s="278" t="n"/>
      <c r="CIK74" s="278" t="n"/>
      <c r="CIL74" s="278" t="n"/>
      <c r="CIM74" s="278" t="n"/>
      <c r="CIN74" s="278" t="n"/>
      <c r="CIO74" s="278" t="n"/>
      <c r="CIP74" s="278" t="n"/>
      <c r="CIQ74" s="278" t="n"/>
      <c r="CIR74" s="278" t="n"/>
      <c r="CIS74" s="278" t="n"/>
      <c r="CIT74" s="278" t="n"/>
      <c r="CIU74" s="278" t="n"/>
      <c r="CIV74" s="278" t="n"/>
      <c r="CIW74" s="278" t="n"/>
      <c r="CIX74" s="278" t="n"/>
      <c r="CIY74" s="278" t="n"/>
      <c r="CIZ74" s="278" t="n"/>
      <c r="CJA74" s="278" t="n"/>
      <c r="CJB74" s="278" t="n"/>
      <c r="CJC74" s="278" t="n"/>
      <c r="CJD74" s="278" t="n"/>
      <c r="CJE74" s="278" t="n"/>
      <c r="CJF74" s="278" t="n"/>
      <c r="CJG74" s="278" t="n"/>
      <c r="CJH74" s="278" t="n"/>
      <c r="CJI74" s="278" t="n"/>
      <c r="CJJ74" s="278" t="n"/>
      <c r="CJK74" s="278" t="n"/>
      <c r="CJL74" s="278" t="n"/>
      <c r="CJM74" s="278" t="n"/>
      <c r="CJN74" s="278" t="n"/>
      <c r="CJO74" s="278" t="n"/>
      <c r="CJP74" s="278" t="n"/>
      <c r="CJQ74" s="278" t="n"/>
      <c r="CJR74" s="278" t="n"/>
      <c r="CJS74" s="278" t="n"/>
      <c r="CJT74" s="278" t="n"/>
      <c r="CJU74" s="278" t="n"/>
      <c r="CJV74" s="278" t="n"/>
      <c r="CJW74" s="278" t="n"/>
      <c r="CJX74" s="278" t="n"/>
      <c r="CJY74" s="278" t="n"/>
      <c r="CJZ74" s="278" t="n"/>
      <c r="CKA74" s="278" t="n"/>
      <c r="CKB74" s="278" t="n"/>
      <c r="CKC74" s="278" t="n"/>
      <c r="CKD74" s="278" t="n"/>
      <c r="CKE74" s="278" t="n"/>
      <c r="CKF74" s="278" t="n"/>
      <c r="CKG74" s="278" t="n"/>
      <c r="CKH74" s="278" t="n"/>
      <c r="CKI74" s="278" t="n"/>
      <c r="CKJ74" s="278" t="n"/>
      <c r="CKK74" s="278" t="n"/>
      <c r="CKL74" s="278" t="n"/>
      <c r="CKM74" s="278" t="n"/>
      <c r="CKN74" s="278" t="n"/>
      <c r="CKO74" s="278" t="n"/>
      <c r="CKP74" s="278" t="n"/>
      <c r="CKQ74" s="278" t="n"/>
      <c r="CKR74" s="278" t="n"/>
      <c r="CKS74" s="278" t="n"/>
      <c r="CKT74" s="278" t="n"/>
      <c r="CKU74" s="278" t="n"/>
      <c r="CKV74" s="278" t="n"/>
      <c r="CKW74" s="278" t="n"/>
      <c r="CKX74" s="278" t="n"/>
      <c r="CKY74" s="278" t="n"/>
      <c r="CKZ74" s="278" t="n"/>
      <c r="CLA74" s="278" t="n"/>
      <c r="CLB74" s="278" t="n"/>
      <c r="CLC74" s="278" t="n"/>
      <c r="CLD74" s="278" t="n"/>
      <c r="CLE74" s="278" t="n"/>
      <c r="CLF74" s="278" t="n"/>
      <c r="CLG74" s="278" t="n"/>
      <c r="CLH74" s="278" t="n"/>
      <c r="CLI74" s="278" t="n"/>
      <c r="CLJ74" s="278" t="n"/>
      <c r="CLK74" s="278" t="n"/>
      <c r="CLL74" s="278" t="n"/>
      <c r="CLM74" s="278" t="n"/>
      <c r="CLN74" s="278" t="n"/>
      <c r="CLO74" s="278" t="n"/>
      <c r="CLP74" s="278" t="n"/>
      <c r="CLQ74" s="278" t="n"/>
      <c r="CLR74" s="278" t="n"/>
      <c r="CLS74" s="278" t="n"/>
      <c r="CLT74" s="278" t="n"/>
      <c r="CLU74" s="278" t="n"/>
      <c r="CLV74" s="278" t="n"/>
      <c r="CLW74" s="278" t="n"/>
      <c r="CLX74" s="278" t="n"/>
      <c r="CLY74" s="278" t="n"/>
      <c r="CLZ74" s="278" t="n"/>
      <c r="CMA74" s="278" t="n"/>
      <c r="CMB74" s="278" t="n"/>
      <c r="CMC74" s="278" t="n"/>
      <c r="CMD74" s="278" t="n"/>
      <c r="CME74" s="278" t="n"/>
      <c r="CMF74" s="278" t="n"/>
      <c r="CMG74" s="278" t="n"/>
      <c r="CMH74" s="278" t="n"/>
      <c r="CMI74" s="278" t="n"/>
      <c r="CMJ74" s="278" t="n"/>
      <c r="CMK74" s="278" t="n"/>
      <c r="CML74" s="278" t="n"/>
      <c r="CMM74" s="278" t="n"/>
      <c r="CMN74" s="278" t="n"/>
      <c r="CMO74" s="278" t="n"/>
      <c r="CMP74" s="278" t="n"/>
      <c r="CMQ74" s="278" t="n"/>
      <c r="CMR74" s="278" t="n"/>
      <c r="CMS74" s="278" t="n"/>
      <c r="CMT74" s="278" t="n"/>
      <c r="CMU74" s="278" t="n"/>
      <c r="CMV74" s="278" t="n"/>
      <c r="CMW74" s="278" t="n"/>
      <c r="CMX74" s="278" t="n"/>
      <c r="CMY74" s="278" t="n"/>
      <c r="CMZ74" s="278" t="n"/>
      <c r="CNA74" s="278" t="n"/>
      <c r="CNB74" s="278" t="n"/>
      <c r="CNC74" s="278" t="n"/>
      <c r="CND74" s="278" t="n"/>
      <c r="CNE74" s="278" t="n"/>
      <c r="CNF74" s="278" t="n"/>
      <c r="CNG74" s="278" t="n"/>
      <c r="CNH74" s="278" t="n"/>
      <c r="CNI74" s="278" t="n"/>
      <c r="CNJ74" s="278" t="n"/>
      <c r="CNK74" s="278" t="n"/>
      <c r="CNL74" s="278" t="n"/>
      <c r="CNM74" s="278" t="n"/>
      <c r="CNN74" s="278" t="n"/>
      <c r="CNO74" s="278" t="n"/>
      <c r="CNP74" s="278" t="n"/>
      <c r="CNQ74" s="278" t="n"/>
      <c r="CNR74" s="278" t="n"/>
      <c r="CNS74" s="278" t="n"/>
      <c r="CNT74" s="278" t="n"/>
      <c r="CNU74" s="278" t="n"/>
      <c r="CNV74" s="278" t="n"/>
      <c r="CNW74" s="278" t="n"/>
      <c r="CNX74" s="278" t="n"/>
      <c r="CNY74" s="278" t="n"/>
      <c r="CNZ74" s="278" t="n"/>
      <c r="COA74" s="278" t="n"/>
      <c r="COB74" s="278" t="n"/>
      <c r="COC74" s="278" t="n"/>
      <c r="COD74" s="278" t="n"/>
      <c r="COE74" s="278" t="n"/>
      <c r="COF74" s="278" t="n"/>
      <c r="COG74" s="278" t="n"/>
      <c r="COH74" s="278" t="n"/>
      <c r="COI74" s="278" t="n"/>
      <c r="COJ74" s="278" t="n"/>
      <c r="COK74" s="278" t="n"/>
      <c r="COL74" s="278" t="n"/>
      <c r="COM74" s="278" t="n"/>
      <c r="CON74" s="278" t="n"/>
      <c r="COO74" s="278" t="n"/>
      <c r="COP74" s="278" t="n"/>
      <c r="COQ74" s="278" t="n"/>
      <c r="COR74" s="278" t="n"/>
      <c r="COS74" s="278" t="n"/>
      <c r="COT74" s="278" t="n"/>
      <c r="COU74" s="278" t="n"/>
      <c r="COV74" s="278" t="n"/>
      <c r="COW74" s="278" t="n"/>
      <c r="COX74" s="278" t="n"/>
      <c r="COY74" s="278" t="n"/>
      <c r="COZ74" s="278" t="n"/>
      <c r="CPA74" s="278" t="n"/>
      <c r="CPB74" s="278" t="n"/>
      <c r="CPC74" s="278" t="n"/>
      <c r="CPD74" s="278" t="n"/>
      <c r="CPE74" s="278" t="n"/>
      <c r="CPF74" s="278" t="n"/>
      <c r="CPG74" s="278" t="n"/>
      <c r="CPH74" s="278" t="n"/>
      <c r="CPI74" s="278" t="n"/>
      <c r="CPJ74" s="278" t="n"/>
      <c r="CPK74" s="278" t="n"/>
      <c r="CPL74" s="278" t="n"/>
      <c r="CPM74" s="278" t="n"/>
      <c r="CPN74" s="278" t="n"/>
      <c r="CPO74" s="278" t="n"/>
      <c r="CPP74" s="278" t="n"/>
      <c r="CPQ74" s="278" t="n"/>
      <c r="CPR74" s="278" t="n"/>
      <c r="CPS74" s="278" t="n"/>
      <c r="CPT74" s="278" t="n"/>
      <c r="CPU74" s="278" t="n"/>
      <c r="CPV74" s="278" t="n"/>
      <c r="CPW74" s="278" t="n"/>
      <c r="CPX74" s="278" t="n"/>
      <c r="CPY74" s="278" t="n"/>
      <c r="CPZ74" s="278" t="n"/>
      <c r="CQA74" s="278" t="n"/>
      <c r="CQB74" s="278" t="n"/>
      <c r="CQC74" s="278" t="n"/>
      <c r="CQD74" s="278" t="n"/>
      <c r="CQE74" s="278" t="n"/>
      <c r="CQF74" s="278" t="n"/>
      <c r="CQG74" s="278" t="n"/>
      <c r="CQH74" s="278" t="n"/>
      <c r="CQI74" s="278" t="n"/>
      <c r="CQJ74" s="278" t="n"/>
      <c r="CQK74" s="278" t="n"/>
      <c r="CQL74" s="278" t="n"/>
      <c r="CQM74" s="278" t="n"/>
      <c r="CQN74" s="278" t="n"/>
      <c r="CQO74" s="278" t="n"/>
      <c r="CQP74" s="278" t="n"/>
      <c r="CQQ74" s="278" t="n"/>
      <c r="CQR74" s="278" t="n"/>
      <c r="CQS74" s="278" t="n"/>
      <c r="CQT74" s="278" t="n"/>
      <c r="CQU74" s="278" t="n"/>
      <c r="CQV74" s="278" t="n"/>
      <c r="CQW74" s="278" t="n"/>
      <c r="CQX74" s="278" t="n"/>
      <c r="CQY74" s="278" t="n"/>
      <c r="CQZ74" s="278" t="n"/>
      <c r="CRA74" s="278" t="n"/>
      <c r="CRB74" s="278" t="n"/>
      <c r="CRC74" s="278" t="n"/>
      <c r="CRD74" s="278" t="n"/>
      <c r="CRE74" s="278" t="n"/>
      <c r="CRF74" s="278" t="n"/>
      <c r="CRG74" s="278" t="n"/>
      <c r="CRH74" s="278" t="n"/>
      <c r="CRI74" s="278" t="n"/>
      <c r="CRJ74" s="278" t="n"/>
      <c r="CRK74" s="278" t="n"/>
      <c r="CRL74" s="278" t="n"/>
      <c r="CRM74" s="278" t="n"/>
      <c r="CRN74" s="278" t="n"/>
      <c r="CRO74" s="278" t="n"/>
      <c r="CRP74" s="278" t="n"/>
      <c r="CRQ74" s="278" t="n"/>
      <c r="CRR74" s="278" t="n"/>
      <c r="CRS74" s="278" t="n"/>
      <c r="CRT74" s="278" t="n"/>
      <c r="CRU74" s="278" t="n"/>
      <c r="CRV74" s="278" t="n"/>
      <c r="CRW74" s="278" t="n"/>
      <c r="CRX74" s="278" t="n"/>
      <c r="CRY74" s="278" t="n"/>
      <c r="CRZ74" s="278" t="n"/>
      <c r="CSA74" s="278" t="n"/>
      <c r="CSB74" s="278" t="n"/>
      <c r="CSC74" s="278" t="n"/>
      <c r="CSD74" s="278" t="n"/>
      <c r="CSE74" s="278" t="n"/>
      <c r="CSF74" s="278" t="n"/>
      <c r="CSG74" s="278" t="n"/>
      <c r="CSH74" s="278" t="n"/>
      <c r="CSI74" s="278" t="n"/>
      <c r="CSJ74" s="278" t="n"/>
      <c r="CSK74" s="278" t="n"/>
      <c r="CSL74" s="278" t="n"/>
      <c r="CSM74" s="278" t="n"/>
      <c r="CSN74" s="278" t="n"/>
      <c r="CSO74" s="278" t="n"/>
      <c r="CSP74" s="278" t="n"/>
      <c r="CSQ74" s="278" t="n"/>
      <c r="CSR74" s="278" t="n"/>
      <c r="CSS74" s="278" t="n"/>
      <c r="CST74" s="278" t="n"/>
      <c r="CSU74" s="278" t="n"/>
      <c r="CSV74" s="278" t="n"/>
      <c r="CSW74" s="278" t="n"/>
      <c r="CSX74" s="278" t="n"/>
      <c r="CSY74" s="278" t="n"/>
      <c r="CSZ74" s="278" t="n"/>
      <c r="CTA74" s="278" t="n"/>
      <c r="CTB74" s="278" t="n"/>
      <c r="CTC74" s="278" t="n"/>
      <c r="CTD74" s="278" t="n"/>
      <c r="CTE74" s="278" t="n"/>
      <c r="CTF74" s="278" t="n"/>
      <c r="CTG74" s="278" t="n"/>
      <c r="CTH74" s="278" t="n"/>
      <c r="CTI74" s="278" t="n"/>
      <c r="CTJ74" s="278" t="n"/>
      <c r="CTK74" s="278" t="n"/>
      <c r="CTL74" s="278" t="n"/>
      <c r="CTM74" s="278" t="n"/>
      <c r="CTN74" s="278" t="n"/>
      <c r="CTO74" s="278" t="n"/>
      <c r="CTP74" s="278" t="n"/>
      <c r="CTQ74" s="278" t="n"/>
      <c r="CTR74" s="278" t="n"/>
      <c r="CTS74" s="278" t="n"/>
      <c r="CTT74" s="278" t="n"/>
      <c r="CTU74" s="278" t="n"/>
      <c r="CTV74" s="278" t="n"/>
      <c r="CTW74" s="278" t="n"/>
      <c r="CTX74" s="278" t="n"/>
      <c r="CTY74" s="278" t="n"/>
      <c r="CTZ74" s="278" t="n"/>
      <c r="CUA74" s="278" t="n"/>
      <c r="CUB74" s="278" t="n"/>
      <c r="CUC74" s="278" t="n"/>
      <c r="CUD74" s="278" t="n"/>
      <c r="CUE74" s="278" t="n"/>
      <c r="CUF74" s="278" t="n"/>
      <c r="CUG74" s="278" t="n"/>
      <c r="CUH74" s="278" t="n"/>
      <c r="CUI74" s="278" t="n"/>
      <c r="CUJ74" s="278" t="n"/>
      <c r="CUK74" s="278" t="n"/>
      <c r="CUL74" s="278" t="n"/>
      <c r="CUM74" s="278" t="n"/>
      <c r="CUN74" s="278" t="n"/>
      <c r="CUO74" s="278" t="n"/>
      <c r="CUP74" s="278" t="n"/>
      <c r="CUQ74" s="278" t="n"/>
      <c r="CUR74" s="278" t="n"/>
      <c r="CUS74" s="278" t="n"/>
      <c r="CUT74" s="278" t="n"/>
      <c r="CUU74" s="278" t="n"/>
      <c r="CUV74" s="278" t="n"/>
      <c r="CUW74" s="278" t="n"/>
      <c r="CUX74" s="278" t="n"/>
      <c r="CUY74" s="278" t="n"/>
      <c r="CUZ74" s="278" t="n"/>
      <c r="CVA74" s="278" t="n"/>
      <c r="CVB74" s="278" t="n"/>
      <c r="CVC74" s="278" t="n"/>
      <c r="CVD74" s="278" t="n"/>
      <c r="CVE74" s="278" t="n"/>
      <c r="CVF74" s="278" t="n"/>
      <c r="CVG74" s="278" t="n"/>
      <c r="CVH74" s="278" t="n"/>
      <c r="CVI74" s="278" t="n"/>
      <c r="CVJ74" s="278" t="n"/>
      <c r="CVK74" s="278" t="n"/>
      <c r="CVL74" s="278" t="n"/>
      <c r="CVM74" s="278" t="n"/>
      <c r="CVN74" s="278" t="n"/>
      <c r="CVO74" s="278" t="n"/>
      <c r="CVP74" s="278" t="n"/>
      <c r="CVQ74" s="278" t="n"/>
      <c r="CVR74" s="278" t="n"/>
      <c r="CVS74" s="278" t="n"/>
      <c r="CVT74" s="278" t="n"/>
      <c r="CVU74" s="278" t="n"/>
      <c r="CVV74" s="278" t="n"/>
      <c r="CVW74" s="278" t="n"/>
      <c r="CVX74" s="278" t="n"/>
      <c r="CVY74" s="278" t="n"/>
      <c r="CVZ74" s="278" t="n"/>
      <c r="CWA74" s="278" t="n"/>
      <c r="CWB74" s="278" t="n"/>
      <c r="CWC74" s="278" t="n"/>
      <c r="CWD74" s="278" t="n"/>
      <c r="CWE74" s="278" t="n"/>
      <c r="CWF74" s="278" t="n"/>
      <c r="CWG74" s="278" t="n"/>
      <c r="CWH74" s="278" t="n"/>
      <c r="CWI74" s="278" t="n"/>
      <c r="CWJ74" s="278" t="n"/>
      <c r="CWK74" s="278" t="n"/>
      <c r="CWL74" s="278" t="n"/>
      <c r="CWM74" s="278" t="n"/>
      <c r="CWN74" s="278" t="n"/>
      <c r="CWO74" s="278" t="n"/>
      <c r="CWP74" s="278" t="n"/>
      <c r="CWQ74" s="278" t="n"/>
      <c r="CWR74" s="278" t="n"/>
      <c r="CWS74" s="278" t="n"/>
      <c r="CWT74" s="278" t="n"/>
      <c r="CWU74" s="278" t="n"/>
      <c r="CWV74" s="278" t="n"/>
      <c r="CWW74" s="278" t="n"/>
      <c r="CWX74" s="278" t="n"/>
      <c r="CWY74" s="278" t="n"/>
      <c r="CWZ74" s="278" t="n"/>
      <c r="CXA74" s="278" t="n"/>
      <c r="CXB74" s="278" t="n"/>
      <c r="CXC74" s="278" t="n"/>
      <c r="CXD74" s="278" t="n"/>
      <c r="CXE74" s="278" t="n"/>
      <c r="CXF74" s="278" t="n"/>
      <c r="CXG74" s="278" t="n"/>
      <c r="CXH74" s="278" t="n"/>
      <c r="CXI74" s="278" t="n"/>
      <c r="CXJ74" s="278" t="n"/>
      <c r="CXK74" s="278" t="n"/>
      <c r="CXL74" s="278" t="n"/>
      <c r="CXM74" s="278" t="n"/>
      <c r="CXN74" s="278" t="n"/>
      <c r="CXO74" s="278" t="n"/>
      <c r="CXP74" s="278" t="n"/>
      <c r="CXQ74" s="278" t="n"/>
      <c r="CXR74" s="278" t="n"/>
      <c r="CXS74" s="278" t="n"/>
      <c r="CXT74" s="278" t="n"/>
      <c r="CXU74" s="278" t="n"/>
      <c r="CXV74" s="278" t="n"/>
      <c r="CXW74" s="278" t="n"/>
      <c r="CXX74" s="278" t="n"/>
      <c r="CXY74" s="278" t="n"/>
      <c r="CXZ74" s="278" t="n"/>
      <c r="CYA74" s="278" t="n"/>
      <c r="CYB74" s="278" t="n"/>
      <c r="CYC74" s="278" t="n"/>
      <c r="CYD74" s="278" t="n"/>
      <c r="CYE74" s="278" t="n"/>
      <c r="CYF74" s="278" t="n"/>
      <c r="CYG74" s="278" t="n"/>
      <c r="CYH74" s="278" t="n"/>
      <c r="CYI74" s="278" t="n"/>
      <c r="CYJ74" s="278" t="n"/>
      <c r="CYK74" s="278" t="n"/>
      <c r="CYL74" s="278" t="n"/>
      <c r="CYM74" s="278" t="n"/>
      <c r="CYN74" s="278" t="n"/>
      <c r="CYO74" s="278" t="n"/>
      <c r="CYP74" s="278" t="n"/>
      <c r="CYQ74" s="278" t="n"/>
      <c r="CYR74" s="278" t="n"/>
      <c r="CYS74" s="278" t="n"/>
      <c r="CYT74" s="278" t="n"/>
      <c r="CYU74" s="278" t="n"/>
      <c r="CYV74" s="278" t="n"/>
      <c r="CYW74" s="278" t="n"/>
      <c r="CYX74" s="278" t="n"/>
      <c r="CYY74" s="278" t="n"/>
      <c r="CYZ74" s="278" t="n"/>
      <c r="CZA74" s="278" t="n"/>
      <c r="CZB74" s="278" t="n"/>
      <c r="CZC74" s="278" t="n"/>
      <c r="CZD74" s="278" t="n"/>
      <c r="CZE74" s="278" t="n"/>
      <c r="CZF74" s="278" t="n"/>
      <c r="CZG74" s="278" t="n"/>
      <c r="CZH74" s="278" t="n"/>
      <c r="CZI74" s="278" t="n"/>
      <c r="CZJ74" s="278" t="n"/>
      <c r="CZK74" s="278" t="n"/>
      <c r="CZL74" s="278" t="n"/>
      <c r="CZM74" s="278" t="n"/>
      <c r="CZN74" s="278" t="n"/>
      <c r="CZO74" s="278" t="n"/>
      <c r="CZP74" s="278" t="n"/>
      <c r="CZQ74" s="278" t="n"/>
      <c r="CZR74" s="278" t="n"/>
      <c r="CZS74" s="278" t="n"/>
      <c r="CZT74" s="278" t="n"/>
      <c r="CZU74" s="278" t="n"/>
      <c r="CZV74" s="278" t="n"/>
      <c r="CZW74" s="278" t="n"/>
      <c r="CZX74" s="278" t="n"/>
      <c r="CZY74" s="278" t="n"/>
      <c r="CZZ74" s="278" t="n"/>
      <c r="DAA74" s="278" t="n"/>
      <c r="DAB74" s="278" t="n"/>
      <c r="DAC74" s="278" t="n"/>
      <c r="DAD74" s="278" t="n"/>
      <c r="DAE74" s="278" t="n"/>
      <c r="DAF74" s="278" t="n"/>
      <c r="DAG74" s="278" t="n"/>
      <c r="DAH74" s="278" t="n"/>
      <c r="DAI74" s="278" t="n"/>
      <c r="DAJ74" s="278" t="n"/>
      <c r="DAK74" s="278" t="n"/>
      <c r="DAL74" s="278" t="n"/>
      <c r="DAM74" s="278" t="n"/>
      <c r="DAN74" s="278" t="n"/>
      <c r="DAO74" s="278" t="n"/>
      <c r="DAP74" s="278" t="n"/>
      <c r="DAQ74" s="278" t="n"/>
      <c r="DAR74" s="278" t="n"/>
      <c r="DAS74" s="278" t="n"/>
      <c r="DAT74" s="278" t="n"/>
      <c r="DAU74" s="278" t="n"/>
      <c r="DAV74" s="278" t="n"/>
      <c r="DAW74" s="278" t="n"/>
      <c r="DAX74" s="278" t="n"/>
      <c r="DAY74" s="278" t="n"/>
      <c r="DAZ74" s="278" t="n"/>
      <c r="DBA74" s="278" t="n"/>
      <c r="DBB74" s="278" t="n"/>
      <c r="DBC74" s="278" t="n"/>
      <c r="DBD74" s="278" t="n"/>
      <c r="DBE74" s="278" t="n"/>
      <c r="DBF74" s="278" t="n"/>
      <c r="DBG74" s="278" t="n"/>
      <c r="DBH74" s="278" t="n"/>
      <c r="DBI74" s="278" t="n"/>
      <c r="DBJ74" s="278" t="n"/>
      <c r="DBK74" s="278" t="n"/>
      <c r="DBL74" s="278" t="n"/>
      <c r="DBM74" s="278" t="n"/>
      <c r="DBN74" s="278" t="n"/>
      <c r="DBO74" s="278" t="n"/>
      <c r="DBP74" s="278" t="n"/>
      <c r="DBQ74" s="278" t="n"/>
      <c r="DBR74" s="278" t="n"/>
      <c r="DBS74" s="278" t="n"/>
      <c r="DBT74" s="278" t="n"/>
      <c r="DBU74" s="278" t="n"/>
      <c r="DBV74" s="278" t="n"/>
      <c r="DBW74" s="278" t="n"/>
      <c r="DBX74" s="278" t="n"/>
      <c r="DBY74" s="278" t="n"/>
      <c r="DBZ74" s="278" t="n"/>
      <c r="DCA74" s="278" t="n"/>
      <c r="DCB74" s="278" t="n"/>
      <c r="DCC74" s="278" t="n"/>
      <c r="DCD74" s="278" t="n"/>
      <c r="DCE74" s="278" t="n"/>
      <c r="DCF74" s="278" t="n"/>
      <c r="DCG74" s="278" t="n"/>
      <c r="DCH74" s="278" t="n"/>
      <c r="DCI74" s="278" t="n"/>
      <c r="DCJ74" s="278" t="n"/>
      <c r="DCK74" s="278" t="n"/>
      <c r="DCL74" s="278" t="n"/>
      <c r="DCM74" s="278" t="n"/>
      <c r="DCN74" s="278" t="n"/>
      <c r="DCO74" s="278" t="n"/>
      <c r="DCP74" s="278" t="n"/>
      <c r="DCQ74" s="278" t="n"/>
      <c r="DCR74" s="278" t="n"/>
      <c r="DCS74" s="278" t="n"/>
      <c r="DCT74" s="278" t="n"/>
      <c r="DCU74" s="278" t="n"/>
      <c r="DCV74" s="278" t="n"/>
      <c r="DCW74" s="278" t="n"/>
      <c r="DCX74" s="278" t="n"/>
      <c r="DCY74" s="278" t="n"/>
      <c r="DCZ74" s="278" t="n"/>
      <c r="DDA74" s="278" t="n"/>
      <c r="DDB74" s="278" t="n"/>
      <c r="DDC74" s="278" t="n"/>
      <c r="DDD74" s="278" t="n"/>
      <c r="DDE74" s="278" t="n"/>
      <c r="DDF74" s="278" t="n"/>
      <c r="DDG74" s="278" t="n"/>
      <c r="DDH74" s="278" t="n"/>
      <c r="DDI74" s="278" t="n"/>
      <c r="DDJ74" s="278" t="n"/>
      <c r="DDK74" s="278" t="n"/>
      <c r="DDL74" s="278" t="n"/>
      <c r="DDM74" s="278" t="n"/>
      <c r="DDN74" s="278" t="n"/>
      <c r="DDO74" s="278" t="n"/>
      <c r="DDP74" s="278" t="n"/>
      <c r="DDQ74" s="278" t="n"/>
      <c r="DDR74" s="278" t="n"/>
      <c r="DDS74" s="278" t="n"/>
      <c r="DDT74" s="278" t="n"/>
      <c r="DDU74" s="278" t="n"/>
      <c r="DDV74" s="278" t="n"/>
      <c r="DDW74" s="278" t="n"/>
      <c r="DDX74" s="278" t="n"/>
      <c r="DDY74" s="278" t="n"/>
      <c r="DDZ74" s="278" t="n"/>
      <c r="DEA74" s="278" t="n"/>
      <c r="DEB74" s="278" t="n"/>
      <c r="DEC74" s="278" t="n"/>
      <c r="DED74" s="278" t="n"/>
      <c r="DEE74" s="278" t="n"/>
      <c r="DEF74" s="278" t="n"/>
      <c r="DEG74" s="278" t="n"/>
      <c r="DEH74" s="278" t="n"/>
      <c r="DEI74" s="278" t="n"/>
      <c r="DEJ74" s="278" t="n"/>
      <c r="DEK74" s="278" t="n"/>
      <c r="DEL74" s="278" t="n"/>
      <c r="DEM74" s="278" t="n"/>
      <c r="DEN74" s="278" t="n"/>
      <c r="DEO74" s="278" t="n"/>
      <c r="DEP74" s="278" t="n"/>
      <c r="DEQ74" s="278" t="n"/>
      <c r="DER74" s="278" t="n"/>
      <c r="DES74" s="278" t="n"/>
      <c r="DET74" s="278" t="n"/>
      <c r="DEU74" s="278" t="n"/>
      <c r="DEV74" s="278" t="n"/>
      <c r="DEW74" s="278" t="n"/>
      <c r="DEX74" s="278" t="n"/>
      <c r="DEY74" s="278" t="n"/>
      <c r="DEZ74" s="278" t="n"/>
      <c r="DFA74" s="278" t="n"/>
      <c r="DFB74" s="278" t="n"/>
      <c r="DFC74" s="278" t="n"/>
      <c r="DFD74" s="278" t="n"/>
      <c r="DFE74" s="278" t="n"/>
      <c r="DFF74" s="278" t="n"/>
      <c r="DFG74" s="278" t="n"/>
      <c r="DFH74" s="278" t="n"/>
      <c r="DFI74" s="278" t="n"/>
      <c r="DFJ74" s="278" t="n"/>
      <c r="DFK74" s="278" t="n"/>
      <c r="DFL74" s="278" t="n"/>
      <c r="DFM74" s="278" t="n"/>
      <c r="DFN74" s="278" t="n"/>
      <c r="DFO74" s="278" t="n"/>
      <c r="DFP74" s="278" t="n"/>
      <c r="DFQ74" s="278" t="n"/>
      <c r="DFR74" s="278" t="n"/>
      <c r="DFS74" s="278" t="n"/>
      <c r="DFT74" s="278" t="n"/>
      <c r="DFU74" s="278" t="n"/>
      <c r="DFV74" s="278" t="n"/>
      <c r="DFW74" s="278" t="n"/>
      <c r="DFX74" s="278" t="n"/>
      <c r="DFY74" s="278" t="n"/>
      <c r="DFZ74" s="278" t="n"/>
      <c r="DGA74" s="278" t="n"/>
      <c r="DGB74" s="278" t="n"/>
      <c r="DGC74" s="278" t="n"/>
      <c r="DGD74" s="278" t="n"/>
      <c r="DGE74" s="278" t="n"/>
      <c r="DGF74" s="278" t="n"/>
      <c r="DGG74" s="278" t="n"/>
      <c r="DGH74" s="278" t="n"/>
      <c r="DGI74" s="278" t="n"/>
      <c r="DGJ74" s="278" t="n"/>
      <c r="DGK74" s="278" t="n"/>
      <c r="DGL74" s="278" t="n"/>
      <c r="DGM74" s="278" t="n"/>
      <c r="DGN74" s="278" t="n"/>
      <c r="DGO74" s="278" t="n"/>
      <c r="DGP74" s="278" t="n"/>
      <c r="DGQ74" s="278" t="n"/>
      <c r="DGR74" s="278" t="n"/>
      <c r="DGS74" s="278" t="n"/>
      <c r="DGT74" s="278" t="n"/>
      <c r="DGU74" s="278" t="n"/>
      <c r="DGV74" s="278" t="n"/>
      <c r="DGW74" s="278" t="n"/>
      <c r="DGX74" s="278" t="n"/>
      <c r="DGY74" s="278" t="n"/>
      <c r="DGZ74" s="278" t="n"/>
      <c r="DHA74" s="278" t="n"/>
      <c r="DHB74" s="278" t="n"/>
      <c r="DHC74" s="278" t="n"/>
      <c r="DHD74" s="278" t="n"/>
      <c r="DHE74" s="278" t="n"/>
      <c r="DHF74" s="278" t="n"/>
      <c r="DHG74" s="278" t="n"/>
      <c r="DHH74" s="278" t="n"/>
      <c r="DHI74" s="278" t="n"/>
      <c r="DHJ74" s="278" t="n"/>
      <c r="DHK74" s="278" t="n"/>
      <c r="DHL74" s="278" t="n"/>
      <c r="DHM74" s="278" t="n"/>
      <c r="DHN74" s="278" t="n"/>
      <c r="DHO74" s="278" t="n"/>
      <c r="DHP74" s="278" t="n"/>
      <c r="DHQ74" s="278" t="n"/>
      <c r="DHR74" s="278" t="n"/>
      <c r="DHS74" s="278" t="n"/>
      <c r="DHT74" s="278" t="n"/>
      <c r="DHU74" s="278" t="n"/>
      <c r="DHV74" s="278" t="n"/>
      <c r="DHW74" s="278" t="n"/>
      <c r="DHX74" s="278" t="n"/>
      <c r="DHY74" s="278" t="n"/>
      <c r="DHZ74" s="278" t="n"/>
      <c r="DIA74" s="278" t="n"/>
      <c r="DIB74" s="278" t="n"/>
      <c r="DIC74" s="278" t="n"/>
      <c r="DID74" s="278" t="n"/>
      <c r="DIE74" s="278" t="n"/>
      <c r="DIF74" s="278" t="n"/>
      <c r="DIG74" s="278" t="n"/>
      <c r="DIH74" s="278" t="n"/>
      <c r="DII74" s="278" t="n"/>
      <c r="DIJ74" s="278" t="n"/>
      <c r="DIK74" s="278" t="n"/>
      <c r="DIL74" s="278" t="n"/>
      <c r="DIM74" s="278" t="n"/>
      <c r="DIN74" s="278" t="n"/>
      <c r="DIO74" s="278" t="n"/>
      <c r="DIP74" s="278" t="n"/>
      <c r="DIQ74" s="278" t="n"/>
      <c r="DIR74" s="278" t="n"/>
      <c r="DIS74" s="278" t="n"/>
      <c r="DIT74" s="278" t="n"/>
      <c r="DIU74" s="278" t="n"/>
      <c r="DIV74" s="278" t="n"/>
      <c r="DIW74" s="278" t="n"/>
      <c r="DIX74" s="278" t="n"/>
      <c r="DIY74" s="278" t="n"/>
      <c r="DIZ74" s="278" t="n"/>
      <c r="DJA74" s="278" t="n"/>
      <c r="DJB74" s="278" t="n"/>
      <c r="DJC74" s="278" t="n"/>
      <c r="DJD74" s="278" t="n"/>
      <c r="DJE74" s="278" t="n"/>
      <c r="DJF74" s="278" t="n"/>
      <c r="DJG74" s="278" t="n"/>
      <c r="DJH74" s="278" t="n"/>
      <c r="DJI74" s="278" t="n"/>
      <c r="DJJ74" s="278" t="n"/>
      <c r="DJK74" s="278" t="n"/>
      <c r="DJL74" s="278" t="n"/>
      <c r="DJM74" s="278" t="n"/>
      <c r="DJN74" s="278" t="n"/>
      <c r="DJO74" s="278" t="n"/>
      <c r="DJP74" s="278" t="n"/>
      <c r="DJQ74" s="278" t="n"/>
      <c r="DJR74" s="278" t="n"/>
      <c r="DJS74" s="278" t="n"/>
      <c r="DJT74" s="278" t="n"/>
      <c r="DJU74" s="278" t="n"/>
      <c r="DJV74" s="278" t="n"/>
      <c r="DJW74" s="278" t="n"/>
      <c r="DJX74" s="278" t="n"/>
      <c r="DJY74" s="278" t="n"/>
      <c r="DJZ74" s="278" t="n"/>
      <c r="DKA74" s="278" t="n"/>
      <c r="DKB74" s="278" t="n"/>
      <c r="DKC74" s="278" t="n"/>
      <c r="DKD74" s="278" t="n"/>
      <c r="DKE74" s="278" t="n"/>
      <c r="DKF74" s="278" t="n"/>
      <c r="DKG74" s="278" t="n"/>
      <c r="DKH74" s="278" t="n"/>
      <c r="DKI74" s="278" t="n"/>
      <c r="DKJ74" s="278" t="n"/>
      <c r="DKK74" s="278" t="n"/>
      <c r="DKL74" s="278" t="n"/>
      <c r="DKM74" s="278" t="n"/>
      <c r="DKN74" s="278" t="n"/>
      <c r="DKO74" s="278" t="n"/>
      <c r="DKP74" s="278" t="n"/>
      <c r="DKQ74" s="278" t="n"/>
      <c r="DKR74" s="278" t="n"/>
      <c r="DKS74" s="278" t="n"/>
      <c r="DKT74" s="278" t="n"/>
      <c r="DKU74" s="278" t="n"/>
      <c r="DKV74" s="278" t="n"/>
      <c r="DKW74" s="278" t="n"/>
      <c r="DKX74" s="278" t="n"/>
      <c r="DKY74" s="278" t="n"/>
      <c r="DKZ74" s="278" t="n"/>
      <c r="DLA74" s="278" t="n"/>
      <c r="DLB74" s="278" t="n"/>
      <c r="DLC74" s="278" t="n"/>
      <c r="DLD74" s="278" t="n"/>
      <c r="DLE74" s="278" t="n"/>
      <c r="DLF74" s="278" t="n"/>
      <c r="DLG74" s="278" t="n"/>
      <c r="DLH74" s="278" t="n"/>
      <c r="DLI74" s="278" t="n"/>
      <c r="DLJ74" s="278" t="n"/>
      <c r="DLK74" s="278" t="n"/>
      <c r="DLL74" s="278" t="n"/>
      <c r="DLM74" s="278" t="n"/>
      <c r="DLN74" s="278" t="n"/>
      <c r="DLO74" s="278" t="n"/>
      <c r="DLP74" s="278" t="n"/>
      <c r="DLQ74" s="278" t="n"/>
      <c r="DLR74" s="278" t="n"/>
      <c r="DLS74" s="278" t="n"/>
      <c r="DLT74" s="278" t="n"/>
      <c r="DLU74" s="278" t="n"/>
      <c r="DLV74" s="278" t="n"/>
      <c r="DLW74" s="278" t="n"/>
      <c r="DLX74" s="278" t="n"/>
      <c r="DLY74" s="278" t="n"/>
      <c r="DLZ74" s="278" t="n"/>
      <c r="DMA74" s="278" t="n"/>
      <c r="DMB74" s="278" t="n"/>
      <c r="DMC74" s="278" t="n"/>
      <c r="DMD74" s="278" t="n"/>
      <c r="DME74" s="278" t="n"/>
      <c r="DMF74" s="278" t="n"/>
      <c r="DMG74" s="278" t="n"/>
      <c r="DMH74" s="278" t="n"/>
      <c r="DMI74" s="278" t="n"/>
      <c r="DMJ74" s="278" t="n"/>
      <c r="DMK74" s="278" t="n"/>
      <c r="DML74" s="278" t="n"/>
      <c r="DMM74" s="278" t="n"/>
      <c r="DMN74" s="278" t="n"/>
      <c r="DMO74" s="278" t="n"/>
      <c r="DMP74" s="278" t="n"/>
      <c r="DMQ74" s="278" t="n"/>
      <c r="DMR74" s="278" t="n"/>
      <c r="DMS74" s="278" t="n"/>
      <c r="DMT74" s="278" t="n"/>
      <c r="DMU74" s="278" t="n"/>
      <c r="DMV74" s="278" t="n"/>
      <c r="DMW74" s="278" t="n"/>
      <c r="DMX74" s="278" t="n"/>
      <c r="DMY74" s="278" t="n"/>
      <c r="DMZ74" s="278" t="n"/>
      <c r="DNA74" s="278" t="n"/>
      <c r="DNB74" s="278" t="n"/>
      <c r="DNC74" s="278" t="n"/>
      <c r="DND74" s="278" t="n"/>
      <c r="DNE74" s="278" t="n"/>
      <c r="DNF74" s="278" t="n"/>
      <c r="DNG74" s="278" t="n"/>
      <c r="DNH74" s="278" t="n"/>
      <c r="DNI74" s="278" t="n"/>
      <c r="DNJ74" s="278" t="n"/>
      <c r="DNK74" s="278" t="n"/>
      <c r="DNL74" s="278" t="n"/>
      <c r="DNM74" s="278" t="n"/>
      <c r="DNN74" s="278" t="n"/>
      <c r="DNO74" s="278" t="n"/>
      <c r="DNP74" s="278" t="n"/>
      <c r="DNQ74" s="278" t="n"/>
      <c r="DNR74" s="278" t="n"/>
      <c r="DNS74" s="278" t="n"/>
      <c r="DNT74" s="278" t="n"/>
      <c r="DNU74" s="278" t="n"/>
      <c r="DNV74" s="278" t="n"/>
      <c r="DNW74" s="278" t="n"/>
      <c r="DNX74" s="278" t="n"/>
      <c r="DNY74" s="278" t="n"/>
      <c r="DNZ74" s="278" t="n"/>
      <c r="DOA74" s="278" t="n"/>
      <c r="DOB74" s="278" t="n"/>
      <c r="DOC74" s="278" t="n"/>
      <c r="DOD74" s="278" t="n"/>
      <c r="DOE74" s="278" t="n"/>
      <c r="DOF74" s="278" t="n"/>
      <c r="DOG74" s="278" t="n"/>
      <c r="DOH74" s="278" t="n"/>
      <c r="DOI74" s="278" t="n"/>
      <c r="DOJ74" s="278" t="n"/>
      <c r="DOK74" s="278" t="n"/>
      <c r="DOL74" s="278" t="n"/>
      <c r="DOM74" s="278" t="n"/>
      <c r="DON74" s="278" t="n"/>
      <c r="DOO74" s="278" t="n"/>
      <c r="DOP74" s="278" t="n"/>
      <c r="DOQ74" s="278" t="n"/>
      <c r="DOR74" s="278" t="n"/>
      <c r="DOS74" s="278" t="n"/>
      <c r="DOT74" s="278" t="n"/>
      <c r="DOU74" s="278" t="n"/>
      <c r="DOV74" s="278" t="n"/>
      <c r="DOW74" s="278" t="n"/>
      <c r="DOX74" s="278" t="n"/>
      <c r="DOY74" s="278" t="n"/>
      <c r="DOZ74" s="278" t="n"/>
      <c r="DPA74" s="278" t="n"/>
      <c r="DPB74" s="278" t="n"/>
      <c r="DPC74" s="278" t="n"/>
      <c r="DPD74" s="278" t="n"/>
      <c r="DPE74" s="278" t="n"/>
      <c r="DPF74" s="278" t="n"/>
      <c r="DPG74" s="278" t="n"/>
      <c r="DPH74" s="278" t="n"/>
      <c r="DPI74" s="278" t="n"/>
      <c r="DPJ74" s="278" t="n"/>
      <c r="DPK74" s="278" t="n"/>
      <c r="DPL74" s="278" t="n"/>
      <c r="DPM74" s="278" t="n"/>
      <c r="DPN74" s="278" t="n"/>
      <c r="DPO74" s="278" t="n"/>
      <c r="DPP74" s="278" t="n"/>
      <c r="DPQ74" s="278" t="n"/>
      <c r="DPR74" s="278" t="n"/>
      <c r="DPS74" s="278" t="n"/>
      <c r="DPT74" s="278" t="n"/>
      <c r="DPU74" s="278" t="n"/>
      <c r="DPV74" s="278" t="n"/>
      <c r="DPW74" s="278" t="n"/>
      <c r="DPX74" s="278" t="n"/>
      <c r="DPY74" s="278" t="n"/>
      <c r="DPZ74" s="278" t="n"/>
      <c r="DQA74" s="278" t="n"/>
      <c r="DQB74" s="278" t="n"/>
      <c r="DQC74" s="278" t="n"/>
      <c r="DQD74" s="278" t="n"/>
      <c r="DQE74" s="278" t="n"/>
      <c r="DQF74" s="278" t="n"/>
      <c r="DQG74" s="278" t="n"/>
      <c r="DQH74" s="278" t="n"/>
      <c r="DQI74" s="278" t="n"/>
      <c r="DQJ74" s="278" t="n"/>
      <c r="DQK74" s="278" t="n"/>
      <c r="DQL74" s="278" t="n"/>
      <c r="DQM74" s="278" t="n"/>
      <c r="DQN74" s="278" t="n"/>
      <c r="DQO74" s="278" t="n"/>
      <c r="DQP74" s="278" t="n"/>
      <c r="DQQ74" s="278" t="n"/>
      <c r="DQR74" s="278" t="n"/>
      <c r="DQS74" s="278" t="n"/>
      <c r="DQT74" s="278" t="n"/>
      <c r="DQU74" s="278" t="n"/>
      <c r="DQV74" s="278" t="n"/>
      <c r="DQW74" s="278" t="n"/>
      <c r="DQX74" s="278" t="n"/>
      <c r="DQY74" s="278" t="n"/>
      <c r="DQZ74" s="278" t="n"/>
      <c r="DRA74" s="278" t="n"/>
      <c r="DRB74" s="278" t="n"/>
      <c r="DRC74" s="278" t="n"/>
      <c r="DRD74" s="278" t="n"/>
      <c r="DRE74" s="278" t="n"/>
      <c r="DRF74" s="278" t="n"/>
      <c r="DRG74" s="278" t="n"/>
      <c r="DRH74" s="278" t="n"/>
      <c r="DRI74" s="278" t="n"/>
      <c r="DRJ74" s="278" t="n"/>
      <c r="DRK74" s="278" t="n"/>
      <c r="DRL74" s="278" t="n"/>
      <c r="DRM74" s="278" t="n"/>
      <c r="DRN74" s="278" t="n"/>
      <c r="DRO74" s="278" t="n"/>
      <c r="DRP74" s="278" t="n"/>
      <c r="DRQ74" s="278" t="n"/>
      <c r="DRR74" s="278" t="n"/>
      <c r="DRS74" s="278" t="n"/>
      <c r="DRT74" s="278" t="n"/>
      <c r="DRU74" s="278" t="n"/>
      <c r="DRV74" s="278" t="n"/>
      <c r="DRW74" s="278" t="n"/>
      <c r="DRX74" s="278" t="n"/>
      <c r="DRY74" s="278" t="n"/>
      <c r="DRZ74" s="278" t="n"/>
      <c r="DSA74" s="278" t="n"/>
      <c r="DSB74" s="278" t="n"/>
      <c r="DSC74" s="278" t="n"/>
      <c r="DSD74" s="278" t="n"/>
      <c r="DSE74" s="278" t="n"/>
      <c r="DSF74" s="278" t="n"/>
      <c r="DSG74" s="278" t="n"/>
      <c r="DSH74" s="278" t="n"/>
      <c r="DSI74" s="278" t="n"/>
      <c r="DSJ74" s="278" t="n"/>
      <c r="DSK74" s="278" t="n"/>
      <c r="DSL74" s="278" t="n"/>
      <c r="DSM74" s="278" t="n"/>
      <c r="DSN74" s="278" t="n"/>
      <c r="DSO74" s="278" t="n"/>
      <c r="DSP74" s="278" t="n"/>
      <c r="DSQ74" s="278" t="n"/>
      <c r="DSR74" s="278" t="n"/>
      <c r="DSS74" s="278" t="n"/>
      <c r="DST74" s="278" t="n"/>
      <c r="DSU74" s="278" t="n"/>
      <c r="DSV74" s="278" t="n"/>
      <c r="DSW74" s="278" t="n"/>
      <c r="DSX74" s="278" t="n"/>
      <c r="DSY74" s="278" t="n"/>
      <c r="DSZ74" s="278" t="n"/>
      <c r="DTA74" s="278" t="n"/>
      <c r="DTB74" s="278" t="n"/>
      <c r="DTC74" s="278" t="n"/>
      <c r="DTD74" s="278" t="n"/>
      <c r="DTE74" s="278" t="n"/>
      <c r="DTF74" s="278" t="n"/>
      <c r="DTG74" s="278" t="n"/>
      <c r="DTH74" s="278" t="n"/>
      <c r="DTI74" s="278" t="n"/>
      <c r="DTJ74" s="278" t="n"/>
      <c r="DTK74" s="278" t="n"/>
      <c r="DTL74" s="278" t="n"/>
      <c r="DTM74" s="278" t="n"/>
      <c r="DTN74" s="278" t="n"/>
      <c r="DTO74" s="278" t="n"/>
      <c r="DTP74" s="278" t="n"/>
      <c r="DTQ74" s="278" t="n"/>
      <c r="DTR74" s="278" t="n"/>
      <c r="DTS74" s="278" t="n"/>
      <c r="DTT74" s="278" t="n"/>
      <c r="DTU74" s="278" t="n"/>
      <c r="DTV74" s="278" t="n"/>
      <c r="DTW74" s="278" t="n"/>
      <c r="DTX74" s="278" t="n"/>
      <c r="DTY74" s="278" t="n"/>
      <c r="DTZ74" s="278" t="n"/>
      <c r="DUA74" s="278" t="n"/>
      <c r="DUB74" s="278" t="n"/>
      <c r="DUC74" s="278" t="n"/>
      <c r="DUD74" s="278" t="n"/>
      <c r="DUE74" s="278" t="n"/>
      <c r="DUF74" s="278" t="n"/>
      <c r="DUG74" s="278" t="n"/>
      <c r="DUH74" s="278" t="n"/>
      <c r="DUI74" s="278" t="n"/>
      <c r="DUJ74" s="278" t="n"/>
      <c r="DUK74" s="278" t="n"/>
      <c r="DUL74" s="278" t="n"/>
      <c r="DUM74" s="278" t="n"/>
      <c r="DUN74" s="278" t="n"/>
      <c r="DUO74" s="278" t="n"/>
      <c r="DUP74" s="278" t="n"/>
      <c r="DUQ74" s="278" t="n"/>
      <c r="DUR74" s="278" t="n"/>
      <c r="DUS74" s="278" t="n"/>
      <c r="DUT74" s="278" t="n"/>
      <c r="DUU74" s="278" t="n"/>
      <c r="DUV74" s="278" t="n"/>
      <c r="DUW74" s="278" t="n"/>
      <c r="DUX74" s="278" t="n"/>
      <c r="DUY74" s="278" t="n"/>
      <c r="DUZ74" s="278" t="n"/>
      <c r="DVA74" s="278" t="n"/>
      <c r="DVB74" s="278" t="n"/>
      <c r="DVC74" s="278" t="n"/>
      <c r="DVD74" s="278" t="n"/>
      <c r="DVE74" s="278" t="n"/>
      <c r="DVF74" s="278" t="n"/>
      <c r="DVG74" s="278" t="n"/>
      <c r="DVH74" s="278" t="n"/>
      <c r="DVI74" s="278" t="n"/>
      <c r="DVJ74" s="278" t="n"/>
      <c r="DVK74" s="278" t="n"/>
      <c r="DVL74" s="278" t="n"/>
      <c r="DVM74" s="278" t="n"/>
      <c r="DVN74" s="278" t="n"/>
      <c r="DVO74" s="278" t="n"/>
      <c r="DVP74" s="278" t="n"/>
      <c r="DVQ74" s="278" t="n"/>
      <c r="DVR74" s="278" t="n"/>
      <c r="DVS74" s="278" t="n"/>
      <c r="DVT74" s="278" t="n"/>
      <c r="DVU74" s="278" t="n"/>
      <c r="DVV74" s="278" t="n"/>
      <c r="DVW74" s="278" t="n"/>
      <c r="DVX74" s="278" t="n"/>
      <c r="DVY74" s="278" t="n"/>
      <c r="DVZ74" s="278" t="n"/>
      <c r="DWA74" s="278" t="n"/>
      <c r="DWB74" s="278" t="n"/>
      <c r="DWC74" s="278" t="n"/>
      <c r="DWD74" s="278" t="n"/>
      <c r="DWE74" s="278" t="n"/>
      <c r="DWF74" s="278" t="n"/>
      <c r="DWG74" s="278" t="n"/>
      <c r="DWH74" s="278" t="n"/>
      <c r="DWI74" s="278" t="n"/>
      <c r="DWJ74" s="278" t="n"/>
      <c r="DWK74" s="278" t="n"/>
      <c r="DWL74" s="278" t="n"/>
      <c r="DWM74" s="278" t="n"/>
      <c r="DWN74" s="278" t="n"/>
      <c r="DWO74" s="278" t="n"/>
      <c r="DWP74" s="278" t="n"/>
      <c r="DWQ74" s="278" t="n"/>
      <c r="DWR74" s="278" t="n"/>
      <c r="DWS74" s="278" t="n"/>
      <c r="DWT74" s="278" t="n"/>
      <c r="DWU74" s="278" t="n"/>
      <c r="DWV74" s="278" t="n"/>
      <c r="DWW74" s="278" t="n"/>
      <c r="DWX74" s="278" t="n"/>
      <c r="DWY74" s="278" t="n"/>
      <c r="DWZ74" s="278" t="n"/>
      <c r="DXA74" s="278" t="n"/>
      <c r="DXB74" s="278" t="n"/>
      <c r="DXC74" s="278" t="n"/>
      <c r="DXD74" s="278" t="n"/>
      <c r="DXE74" s="278" t="n"/>
      <c r="DXF74" s="278" t="n"/>
      <c r="DXG74" s="278" t="n"/>
      <c r="DXH74" s="278" t="n"/>
      <c r="DXI74" s="278" t="n"/>
      <c r="DXJ74" s="278" t="n"/>
      <c r="DXK74" s="278" t="n"/>
      <c r="DXL74" s="278" t="n"/>
      <c r="DXM74" s="278" t="n"/>
      <c r="DXN74" s="278" t="n"/>
      <c r="DXO74" s="278" t="n"/>
      <c r="DXP74" s="278" t="n"/>
      <c r="DXQ74" s="278" t="n"/>
      <c r="DXR74" s="278" t="n"/>
      <c r="DXS74" s="278" t="n"/>
      <c r="DXT74" s="278" t="n"/>
      <c r="DXU74" s="278" t="n"/>
      <c r="DXV74" s="278" t="n"/>
      <c r="DXW74" s="278" t="n"/>
      <c r="DXX74" s="278" t="n"/>
      <c r="DXY74" s="278" t="n"/>
      <c r="DXZ74" s="278" t="n"/>
      <c r="DYA74" s="278" t="n"/>
      <c r="DYB74" s="278" t="n"/>
      <c r="DYC74" s="278" t="n"/>
      <c r="DYD74" s="278" t="n"/>
      <c r="DYE74" s="278" t="n"/>
      <c r="DYF74" s="278" t="n"/>
      <c r="DYG74" s="278" t="n"/>
      <c r="DYH74" s="278" t="n"/>
      <c r="DYI74" s="278" t="n"/>
      <c r="DYJ74" s="278" t="n"/>
      <c r="DYK74" s="278" t="n"/>
      <c r="DYL74" s="278" t="n"/>
      <c r="DYM74" s="278" t="n"/>
      <c r="DYN74" s="278" t="n"/>
      <c r="DYO74" s="278" t="n"/>
      <c r="DYP74" s="278" t="n"/>
      <c r="DYQ74" s="278" t="n"/>
      <c r="DYR74" s="278" t="n"/>
      <c r="DYS74" s="278" t="n"/>
      <c r="DYT74" s="278" t="n"/>
      <c r="DYU74" s="278" t="n"/>
      <c r="DYV74" s="278" t="n"/>
      <c r="DYW74" s="278" t="n"/>
      <c r="DYX74" s="278" t="n"/>
      <c r="DYY74" s="278" t="n"/>
      <c r="DYZ74" s="278" t="n"/>
      <c r="DZA74" s="278" t="n"/>
      <c r="DZB74" s="278" t="n"/>
      <c r="DZC74" s="278" t="n"/>
      <c r="DZD74" s="278" t="n"/>
      <c r="DZE74" s="278" t="n"/>
      <c r="DZF74" s="278" t="n"/>
      <c r="DZG74" s="278" t="n"/>
      <c r="DZH74" s="278" t="n"/>
      <c r="DZI74" s="278" t="n"/>
      <c r="DZJ74" s="278" t="n"/>
      <c r="DZK74" s="278" t="n"/>
      <c r="DZL74" s="278" t="n"/>
      <c r="DZM74" s="278" t="n"/>
      <c r="DZN74" s="278" t="n"/>
      <c r="DZO74" s="278" t="n"/>
      <c r="DZP74" s="278" t="n"/>
      <c r="DZQ74" s="278" t="n"/>
      <c r="DZR74" s="278" t="n"/>
      <c r="DZS74" s="278" t="n"/>
      <c r="DZT74" s="278" t="n"/>
      <c r="DZU74" s="278" t="n"/>
      <c r="DZV74" s="278" t="n"/>
      <c r="DZW74" s="278" t="n"/>
      <c r="DZX74" s="278" t="n"/>
      <c r="DZY74" s="278" t="n"/>
      <c r="DZZ74" s="278" t="n"/>
      <c r="EAA74" s="278" t="n"/>
      <c r="EAB74" s="278" t="n"/>
      <c r="EAC74" s="278" t="n"/>
      <c r="EAD74" s="278" t="n"/>
      <c r="EAE74" s="278" t="n"/>
      <c r="EAF74" s="278" t="n"/>
      <c r="EAG74" s="278" t="n"/>
      <c r="EAH74" s="278" t="n"/>
      <c r="EAI74" s="278" t="n"/>
      <c r="EAJ74" s="278" t="n"/>
      <c r="EAK74" s="278" t="n"/>
      <c r="EAL74" s="278" t="n"/>
      <c r="EAM74" s="278" t="n"/>
      <c r="EAN74" s="278" t="n"/>
      <c r="EAO74" s="278" t="n"/>
      <c r="EAP74" s="278" t="n"/>
      <c r="EAQ74" s="278" t="n"/>
      <c r="EAR74" s="278" t="n"/>
      <c r="EAS74" s="278" t="n"/>
      <c r="EAT74" s="278" t="n"/>
      <c r="EAU74" s="278" t="n"/>
      <c r="EAV74" s="278" t="n"/>
      <c r="EAW74" s="278" t="n"/>
      <c r="EAX74" s="278" t="n"/>
      <c r="EAY74" s="278" t="n"/>
      <c r="EAZ74" s="278" t="n"/>
      <c r="EBA74" s="278" t="n"/>
      <c r="EBB74" s="278" t="n"/>
      <c r="EBC74" s="278" t="n"/>
      <c r="EBD74" s="278" t="n"/>
      <c r="EBE74" s="278" t="n"/>
      <c r="EBF74" s="278" t="n"/>
      <c r="EBG74" s="278" t="n"/>
      <c r="EBH74" s="278" t="n"/>
      <c r="EBI74" s="278" t="n"/>
      <c r="EBJ74" s="278" t="n"/>
      <c r="EBK74" s="278" t="n"/>
      <c r="EBL74" s="278" t="n"/>
      <c r="EBM74" s="278" t="n"/>
      <c r="EBN74" s="278" t="n"/>
      <c r="EBO74" s="278" t="n"/>
      <c r="EBP74" s="278" t="n"/>
      <c r="EBQ74" s="278" t="n"/>
      <c r="EBR74" s="278" t="n"/>
      <c r="EBS74" s="278" t="n"/>
      <c r="EBT74" s="278" t="n"/>
      <c r="EBU74" s="278" t="n"/>
      <c r="EBV74" s="278" t="n"/>
      <c r="EBW74" s="278" t="n"/>
      <c r="EBX74" s="278" t="n"/>
      <c r="EBY74" s="278" t="n"/>
      <c r="EBZ74" s="278" t="n"/>
      <c r="ECA74" s="278" t="n"/>
      <c r="ECB74" s="278" t="n"/>
      <c r="ECC74" s="278" t="n"/>
      <c r="ECD74" s="278" t="n"/>
      <c r="ECE74" s="278" t="n"/>
      <c r="ECF74" s="278" t="n"/>
      <c r="ECG74" s="278" t="n"/>
      <c r="ECH74" s="278" t="n"/>
      <c r="ECI74" s="278" t="n"/>
      <c r="ECJ74" s="278" t="n"/>
      <c r="ECK74" s="278" t="n"/>
      <c r="ECL74" s="278" t="n"/>
      <c r="ECM74" s="278" t="n"/>
      <c r="ECN74" s="278" t="n"/>
      <c r="ECO74" s="278" t="n"/>
      <c r="ECP74" s="278" t="n"/>
      <c r="ECQ74" s="278" t="n"/>
      <c r="ECR74" s="278" t="n"/>
      <c r="ECS74" s="278" t="n"/>
      <c r="ECT74" s="278" t="n"/>
      <c r="ECU74" s="278" t="n"/>
      <c r="ECV74" s="278" t="n"/>
      <c r="ECW74" s="278" t="n"/>
      <c r="ECX74" s="278" t="n"/>
      <c r="ECY74" s="278" t="n"/>
      <c r="ECZ74" s="278" t="n"/>
      <c r="EDA74" s="278" t="n"/>
      <c r="EDB74" s="278" t="n"/>
      <c r="EDC74" s="278" t="n"/>
      <c r="EDD74" s="278" t="n"/>
      <c r="EDE74" s="278" t="n"/>
      <c r="EDF74" s="278" t="n"/>
      <c r="EDG74" s="278" t="n"/>
      <c r="EDH74" s="278" t="n"/>
      <c r="EDI74" s="278" t="n"/>
      <c r="EDJ74" s="278" t="n"/>
      <c r="EDK74" s="278" t="n"/>
      <c r="EDL74" s="278" t="n"/>
      <c r="EDM74" s="278" t="n"/>
      <c r="EDN74" s="278" t="n"/>
      <c r="EDO74" s="278" t="n"/>
      <c r="EDP74" s="278" t="n"/>
      <c r="EDQ74" s="278" t="n"/>
      <c r="EDR74" s="278" t="n"/>
      <c r="EDS74" s="278" t="n"/>
      <c r="EDT74" s="278" t="n"/>
      <c r="EDU74" s="278" t="n"/>
      <c r="EDV74" s="278" t="n"/>
      <c r="EDW74" s="278" t="n"/>
      <c r="EDX74" s="278" t="n"/>
      <c r="EDY74" s="278" t="n"/>
      <c r="EDZ74" s="278" t="n"/>
      <c r="EEA74" s="278" t="n"/>
      <c r="EEB74" s="278" t="n"/>
      <c r="EEC74" s="278" t="n"/>
      <c r="EED74" s="278" t="n"/>
      <c r="EEE74" s="278" t="n"/>
      <c r="EEF74" s="278" t="n"/>
      <c r="EEG74" s="278" t="n"/>
      <c r="EEH74" s="278" t="n"/>
      <c r="EEI74" s="278" t="n"/>
      <c r="EEJ74" s="278" t="n"/>
      <c r="EEK74" s="278" t="n"/>
      <c r="EEL74" s="278" t="n"/>
      <c r="EEM74" s="278" t="n"/>
      <c r="EEN74" s="278" t="n"/>
      <c r="EEO74" s="278" t="n"/>
      <c r="EEP74" s="278" t="n"/>
      <c r="EEQ74" s="278" t="n"/>
      <c r="EER74" s="278" t="n"/>
      <c r="EES74" s="278" t="n"/>
      <c r="EET74" s="278" t="n"/>
      <c r="EEU74" s="278" t="n"/>
      <c r="EEV74" s="278" t="n"/>
      <c r="EEW74" s="278" t="n"/>
      <c r="EEX74" s="278" t="n"/>
      <c r="EEY74" s="278" t="n"/>
      <c r="EEZ74" s="278" t="n"/>
      <c r="EFA74" s="278" t="n"/>
      <c r="EFB74" s="278" t="n"/>
      <c r="EFC74" s="278" t="n"/>
      <c r="EFD74" s="278" t="n"/>
      <c r="EFE74" s="278" t="n"/>
      <c r="EFF74" s="278" t="n"/>
      <c r="EFG74" s="278" t="n"/>
      <c r="EFH74" s="278" t="n"/>
      <c r="EFI74" s="278" t="n"/>
      <c r="EFJ74" s="278" t="n"/>
      <c r="EFK74" s="278" t="n"/>
      <c r="EFL74" s="278" t="n"/>
      <c r="EFM74" s="278" t="n"/>
      <c r="EFN74" s="278" t="n"/>
      <c r="EFO74" s="278" t="n"/>
      <c r="EFP74" s="278" t="n"/>
      <c r="EFQ74" s="278" t="n"/>
      <c r="EFR74" s="278" t="n"/>
      <c r="EFS74" s="278" t="n"/>
      <c r="EFT74" s="278" t="n"/>
      <c r="EFU74" s="278" t="n"/>
      <c r="EFV74" s="278" t="n"/>
      <c r="EFW74" s="278" t="n"/>
      <c r="EFX74" s="278" t="n"/>
      <c r="EFY74" s="278" t="n"/>
      <c r="EFZ74" s="278" t="n"/>
      <c r="EGA74" s="278" t="n"/>
      <c r="EGB74" s="278" t="n"/>
      <c r="EGC74" s="278" t="n"/>
      <c r="EGD74" s="278" t="n"/>
      <c r="EGE74" s="278" t="n"/>
      <c r="EGF74" s="278" t="n"/>
      <c r="EGG74" s="278" t="n"/>
      <c r="EGH74" s="278" t="n"/>
      <c r="EGI74" s="278" t="n"/>
      <c r="EGJ74" s="278" t="n"/>
      <c r="EGK74" s="278" t="n"/>
      <c r="EGL74" s="278" t="n"/>
      <c r="EGM74" s="278" t="n"/>
      <c r="EGN74" s="278" t="n"/>
      <c r="EGO74" s="278" t="n"/>
      <c r="EGP74" s="278" t="n"/>
      <c r="EGQ74" s="278" t="n"/>
      <c r="EGR74" s="278" t="n"/>
      <c r="EGS74" s="278" t="n"/>
      <c r="EGT74" s="278" t="n"/>
      <c r="EGU74" s="278" t="n"/>
      <c r="EGV74" s="278" t="n"/>
      <c r="EGW74" s="278" t="n"/>
      <c r="EGX74" s="278" t="n"/>
      <c r="EGY74" s="278" t="n"/>
      <c r="EGZ74" s="278" t="n"/>
      <c r="EHA74" s="278" t="n"/>
      <c r="EHB74" s="278" t="n"/>
      <c r="EHC74" s="278" t="n"/>
      <c r="EHD74" s="278" t="n"/>
      <c r="EHE74" s="278" t="n"/>
      <c r="EHF74" s="278" t="n"/>
      <c r="EHG74" s="278" t="n"/>
      <c r="EHH74" s="278" t="n"/>
      <c r="EHI74" s="278" t="n"/>
      <c r="EHJ74" s="278" t="n"/>
      <c r="EHK74" s="278" t="n"/>
      <c r="EHL74" s="278" t="n"/>
      <c r="EHM74" s="278" t="n"/>
      <c r="EHN74" s="278" t="n"/>
      <c r="EHO74" s="278" t="n"/>
      <c r="EHP74" s="278" t="n"/>
      <c r="EHQ74" s="278" t="n"/>
      <c r="EHR74" s="278" t="n"/>
      <c r="EHS74" s="278" t="n"/>
      <c r="EHT74" s="278" t="n"/>
      <c r="EHU74" s="278" t="n"/>
      <c r="EHV74" s="278" t="n"/>
      <c r="EHW74" s="278" t="n"/>
      <c r="EHX74" s="278" t="n"/>
      <c r="EHY74" s="278" t="n"/>
      <c r="EHZ74" s="278" t="n"/>
      <c r="EIA74" s="278" t="n"/>
      <c r="EIB74" s="278" t="n"/>
      <c r="EIC74" s="278" t="n"/>
      <c r="EID74" s="278" t="n"/>
      <c r="EIE74" s="278" t="n"/>
      <c r="EIF74" s="278" t="n"/>
      <c r="EIG74" s="278" t="n"/>
      <c r="EIH74" s="278" t="n"/>
      <c r="EII74" s="278" t="n"/>
      <c r="EIJ74" s="278" t="n"/>
      <c r="EIK74" s="278" t="n"/>
      <c r="EIL74" s="278" t="n"/>
      <c r="EIM74" s="278" t="n"/>
      <c r="EIN74" s="278" t="n"/>
      <c r="EIO74" s="278" t="n"/>
      <c r="EIP74" s="278" t="n"/>
      <c r="EIQ74" s="278" t="n"/>
      <c r="EIR74" s="278" t="n"/>
      <c r="EIS74" s="278" t="n"/>
      <c r="EIT74" s="278" t="n"/>
      <c r="EIU74" s="278" t="n"/>
      <c r="EIV74" s="278" t="n"/>
      <c r="EIW74" s="278" t="n"/>
      <c r="EIX74" s="278" t="n"/>
      <c r="EIY74" s="278" t="n"/>
      <c r="EIZ74" s="278" t="n"/>
      <c r="EJA74" s="278" t="n"/>
      <c r="EJB74" s="278" t="n"/>
      <c r="EJC74" s="278" t="n"/>
      <c r="EJD74" s="278" t="n"/>
      <c r="EJE74" s="278" t="n"/>
      <c r="EJF74" s="278" t="n"/>
      <c r="EJG74" s="278" t="n"/>
      <c r="EJH74" s="278" t="n"/>
      <c r="EJI74" s="278" t="n"/>
      <c r="EJJ74" s="278" t="n"/>
      <c r="EJK74" s="278" t="n"/>
      <c r="EJL74" s="278" t="n"/>
      <c r="EJM74" s="278" t="n"/>
      <c r="EJN74" s="278" t="n"/>
      <c r="EJO74" s="278" t="n"/>
      <c r="EJP74" s="278" t="n"/>
      <c r="EJQ74" s="278" t="n"/>
      <c r="EJR74" s="278" t="n"/>
      <c r="EJS74" s="278" t="n"/>
      <c r="EJT74" s="278" t="n"/>
      <c r="EJU74" s="278" t="n"/>
      <c r="EJV74" s="278" t="n"/>
      <c r="EJW74" s="278" t="n"/>
      <c r="EJX74" s="278" t="n"/>
      <c r="EJY74" s="278" t="n"/>
      <c r="EJZ74" s="278" t="n"/>
      <c r="EKA74" s="278" t="n"/>
      <c r="EKB74" s="278" t="n"/>
      <c r="EKC74" s="278" t="n"/>
      <c r="EKD74" s="278" t="n"/>
      <c r="EKE74" s="278" t="n"/>
      <c r="EKF74" s="278" t="n"/>
      <c r="EKG74" s="278" t="n"/>
      <c r="EKH74" s="278" t="n"/>
      <c r="EKI74" s="278" t="n"/>
      <c r="EKJ74" s="278" t="n"/>
      <c r="EKK74" s="278" t="n"/>
      <c r="EKL74" s="278" t="n"/>
      <c r="EKM74" s="278" t="n"/>
      <c r="EKN74" s="278" t="n"/>
      <c r="EKO74" s="278" t="n"/>
      <c r="EKP74" s="278" t="n"/>
      <c r="EKQ74" s="278" t="n"/>
      <c r="EKR74" s="278" t="n"/>
      <c r="EKS74" s="278" t="n"/>
      <c r="EKT74" s="278" t="n"/>
      <c r="EKU74" s="278" t="n"/>
      <c r="EKV74" s="278" t="n"/>
      <c r="EKW74" s="278" t="n"/>
      <c r="EKX74" s="278" t="n"/>
      <c r="EKY74" s="278" t="n"/>
      <c r="EKZ74" s="278" t="n"/>
      <c r="ELA74" s="278" t="n"/>
      <c r="ELB74" s="278" t="n"/>
      <c r="ELC74" s="278" t="n"/>
      <c r="ELD74" s="278" t="n"/>
      <c r="ELE74" s="278" t="n"/>
      <c r="ELF74" s="278" t="n"/>
      <c r="ELG74" s="278" t="n"/>
      <c r="ELH74" s="278" t="n"/>
      <c r="ELI74" s="278" t="n"/>
      <c r="ELJ74" s="278" t="n"/>
      <c r="ELK74" s="278" t="n"/>
      <c r="ELL74" s="278" t="n"/>
      <c r="ELM74" s="278" t="n"/>
      <c r="ELN74" s="278" t="n"/>
      <c r="ELO74" s="278" t="n"/>
      <c r="ELP74" s="278" t="n"/>
      <c r="ELQ74" s="278" t="n"/>
      <c r="ELR74" s="278" t="n"/>
      <c r="ELS74" s="278" t="n"/>
      <c r="ELT74" s="278" t="n"/>
      <c r="ELU74" s="278" t="n"/>
      <c r="ELV74" s="278" t="n"/>
      <c r="ELW74" s="278" t="n"/>
      <c r="ELX74" s="278" t="n"/>
      <c r="ELY74" s="278" t="n"/>
      <c r="ELZ74" s="278" t="n"/>
      <c r="EMA74" s="278" t="n"/>
      <c r="EMB74" s="278" t="n"/>
      <c r="EMC74" s="278" t="n"/>
      <c r="EMD74" s="278" t="n"/>
      <c r="EME74" s="278" t="n"/>
      <c r="EMF74" s="278" t="n"/>
      <c r="EMG74" s="278" t="n"/>
      <c r="EMH74" s="278" t="n"/>
      <c r="EMI74" s="278" t="n"/>
      <c r="EMJ74" s="278" t="n"/>
      <c r="EMK74" s="278" t="n"/>
      <c r="EML74" s="278" t="n"/>
      <c r="EMM74" s="278" t="n"/>
      <c r="EMN74" s="278" t="n"/>
      <c r="EMO74" s="278" t="n"/>
      <c r="EMP74" s="278" t="n"/>
      <c r="EMQ74" s="278" t="n"/>
      <c r="EMR74" s="278" t="n"/>
      <c r="EMS74" s="278" t="n"/>
      <c r="EMT74" s="278" t="n"/>
      <c r="EMU74" s="278" t="n"/>
      <c r="EMV74" s="278" t="n"/>
      <c r="EMW74" s="278" t="n"/>
      <c r="EMX74" s="278" t="n"/>
      <c r="EMY74" s="278" t="n"/>
      <c r="EMZ74" s="278" t="n"/>
      <c r="ENA74" s="278" t="n"/>
      <c r="ENB74" s="278" t="n"/>
      <c r="ENC74" s="278" t="n"/>
      <c r="END74" s="278" t="n"/>
      <c r="ENE74" s="278" t="n"/>
      <c r="ENF74" s="278" t="n"/>
      <c r="ENG74" s="278" t="n"/>
      <c r="ENH74" s="278" t="n"/>
      <c r="ENI74" s="278" t="n"/>
      <c r="ENJ74" s="278" t="n"/>
      <c r="ENK74" s="278" t="n"/>
      <c r="ENL74" s="278" t="n"/>
      <c r="ENM74" s="278" t="n"/>
      <c r="ENN74" s="278" t="n"/>
      <c r="ENO74" s="278" t="n"/>
      <c r="ENP74" s="278" t="n"/>
      <c r="ENQ74" s="278" t="n"/>
      <c r="ENR74" s="278" t="n"/>
      <c r="ENS74" s="278" t="n"/>
      <c r="ENT74" s="278" t="n"/>
      <c r="ENU74" s="278" t="n"/>
      <c r="ENV74" s="278" t="n"/>
      <c r="ENW74" s="278" t="n"/>
      <c r="ENX74" s="278" t="n"/>
      <c r="ENY74" s="278" t="n"/>
      <c r="ENZ74" s="278" t="n"/>
      <c r="EOA74" s="278" t="n"/>
      <c r="EOB74" s="278" t="n"/>
      <c r="EOC74" s="278" t="n"/>
      <c r="EOD74" s="278" t="n"/>
      <c r="EOE74" s="278" t="n"/>
      <c r="EOF74" s="278" t="n"/>
      <c r="EOG74" s="278" t="n"/>
      <c r="EOH74" s="278" t="n"/>
      <c r="EOI74" s="278" t="n"/>
      <c r="EOJ74" s="278" t="n"/>
      <c r="EOK74" s="278" t="n"/>
      <c r="EOL74" s="278" t="n"/>
      <c r="EOM74" s="278" t="n"/>
      <c r="EON74" s="278" t="n"/>
      <c r="EOO74" s="278" t="n"/>
      <c r="EOP74" s="278" t="n"/>
      <c r="EOQ74" s="278" t="n"/>
      <c r="EOR74" s="278" t="n"/>
      <c r="EOS74" s="278" t="n"/>
      <c r="EOT74" s="278" t="n"/>
      <c r="EOU74" s="278" t="n"/>
      <c r="EOV74" s="278" t="n"/>
      <c r="EOW74" s="278" t="n"/>
      <c r="EOX74" s="278" t="n"/>
      <c r="EOY74" s="278" t="n"/>
      <c r="EOZ74" s="278" t="n"/>
      <c r="EPA74" s="278" t="n"/>
      <c r="EPB74" s="278" t="n"/>
      <c r="EPC74" s="278" t="n"/>
      <c r="EPD74" s="278" t="n"/>
      <c r="EPE74" s="278" t="n"/>
      <c r="EPF74" s="278" t="n"/>
      <c r="EPG74" s="278" t="n"/>
      <c r="EPH74" s="278" t="n"/>
      <c r="EPI74" s="278" t="n"/>
      <c r="EPJ74" s="278" t="n"/>
      <c r="EPK74" s="278" t="n"/>
      <c r="EPL74" s="278" t="n"/>
      <c r="EPM74" s="278" t="n"/>
      <c r="EPN74" s="278" t="n"/>
      <c r="EPO74" s="278" t="n"/>
      <c r="EPP74" s="278" t="n"/>
      <c r="EPQ74" s="278" t="n"/>
      <c r="EPR74" s="278" t="n"/>
      <c r="EPS74" s="278" t="n"/>
      <c r="EPT74" s="278" t="n"/>
      <c r="EPU74" s="278" t="n"/>
      <c r="EPV74" s="278" t="n"/>
      <c r="EPW74" s="278" t="n"/>
      <c r="EPX74" s="278" t="n"/>
      <c r="EPY74" s="278" t="n"/>
      <c r="EPZ74" s="278" t="n"/>
      <c r="EQA74" s="278" t="n"/>
      <c r="EQB74" s="278" t="n"/>
      <c r="EQC74" s="278" t="n"/>
      <c r="EQD74" s="278" t="n"/>
      <c r="EQE74" s="278" t="n"/>
      <c r="EQF74" s="278" t="n"/>
      <c r="EQG74" s="278" t="n"/>
      <c r="EQH74" s="278" t="n"/>
      <c r="EQI74" s="278" t="n"/>
      <c r="EQJ74" s="278" t="n"/>
      <c r="EQK74" s="278" t="n"/>
      <c r="EQL74" s="278" t="n"/>
      <c r="EQM74" s="278" t="n"/>
      <c r="EQN74" s="278" t="n"/>
      <c r="EQO74" s="278" t="n"/>
      <c r="EQP74" s="278" t="n"/>
      <c r="EQQ74" s="278" t="n"/>
      <c r="EQR74" s="278" t="n"/>
      <c r="EQS74" s="278" t="n"/>
      <c r="EQT74" s="278" t="n"/>
      <c r="EQU74" s="278" t="n"/>
      <c r="EQV74" s="278" t="n"/>
      <c r="EQW74" s="278" t="n"/>
      <c r="EQX74" s="278" t="n"/>
      <c r="EQY74" s="278" t="n"/>
      <c r="EQZ74" s="278" t="n"/>
      <c r="ERA74" s="278" t="n"/>
      <c r="ERB74" s="278" t="n"/>
      <c r="ERC74" s="278" t="n"/>
      <c r="ERD74" s="278" t="n"/>
      <c r="ERE74" s="278" t="n"/>
      <c r="ERF74" s="278" t="n"/>
      <c r="ERG74" s="278" t="n"/>
      <c r="ERH74" s="278" t="n"/>
      <c r="ERI74" s="278" t="n"/>
      <c r="ERJ74" s="278" t="n"/>
      <c r="ERK74" s="278" t="n"/>
      <c r="ERL74" s="278" t="n"/>
      <c r="ERM74" s="278" t="n"/>
      <c r="ERN74" s="278" t="n"/>
      <c r="ERO74" s="278" t="n"/>
      <c r="ERP74" s="278" t="n"/>
      <c r="ERQ74" s="278" t="n"/>
      <c r="ERR74" s="278" t="n"/>
      <c r="ERS74" s="278" t="n"/>
      <c r="ERT74" s="278" t="n"/>
      <c r="ERU74" s="278" t="n"/>
      <c r="ERV74" s="278" t="n"/>
      <c r="ERW74" s="278" t="n"/>
      <c r="ERX74" s="278" t="n"/>
      <c r="ERY74" s="278" t="n"/>
      <c r="ERZ74" s="278" t="n"/>
      <c r="ESA74" s="278" t="n"/>
      <c r="ESB74" s="278" t="n"/>
      <c r="ESC74" s="278" t="n"/>
      <c r="ESD74" s="278" t="n"/>
      <c r="ESE74" s="278" t="n"/>
      <c r="ESF74" s="278" t="n"/>
      <c r="ESG74" s="278" t="n"/>
      <c r="ESH74" s="278" t="n"/>
      <c r="ESI74" s="278" t="n"/>
      <c r="ESJ74" s="278" t="n"/>
      <c r="ESK74" s="278" t="n"/>
      <c r="ESL74" s="278" t="n"/>
      <c r="ESM74" s="278" t="n"/>
      <c r="ESN74" s="278" t="n"/>
      <c r="ESO74" s="278" t="n"/>
      <c r="ESP74" s="278" t="n"/>
      <c r="ESQ74" s="278" t="n"/>
      <c r="ESR74" s="278" t="n"/>
      <c r="ESS74" s="278" t="n"/>
      <c r="EST74" s="278" t="n"/>
      <c r="ESU74" s="278" t="n"/>
      <c r="ESV74" s="278" t="n"/>
      <c r="ESW74" s="278" t="n"/>
      <c r="ESX74" s="278" t="n"/>
      <c r="ESY74" s="278" t="n"/>
      <c r="ESZ74" s="278" t="n"/>
      <c r="ETA74" s="278" t="n"/>
      <c r="ETB74" s="278" t="n"/>
      <c r="ETC74" s="278" t="n"/>
      <c r="ETD74" s="278" t="n"/>
      <c r="ETE74" s="278" t="n"/>
      <c r="ETF74" s="278" t="n"/>
      <c r="ETG74" s="278" t="n"/>
      <c r="ETH74" s="278" t="n"/>
      <c r="ETI74" s="278" t="n"/>
      <c r="ETJ74" s="278" t="n"/>
      <c r="ETK74" s="278" t="n"/>
      <c r="ETL74" s="278" t="n"/>
      <c r="ETM74" s="278" t="n"/>
      <c r="ETN74" s="278" t="n"/>
      <c r="ETO74" s="278" t="n"/>
      <c r="ETP74" s="278" t="n"/>
      <c r="ETQ74" s="278" t="n"/>
      <c r="ETR74" s="278" t="n"/>
      <c r="ETS74" s="278" t="n"/>
      <c r="ETT74" s="278" t="n"/>
      <c r="ETU74" s="278" t="n"/>
      <c r="ETV74" s="278" t="n"/>
      <c r="ETW74" s="278" t="n"/>
      <c r="ETX74" s="278" t="n"/>
      <c r="ETY74" s="278" t="n"/>
      <c r="ETZ74" s="278" t="n"/>
      <c r="EUA74" s="278" t="n"/>
      <c r="EUB74" s="278" t="n"/>
      <c r="EUC74" s="278" t="n"/>
      <c r="EUD74" s="278" t="n"/>
      <c r="EUE74" s="278" t="n"/>
      <c r="EUF74" s="278" t="n"/>
      <c r="EUG74" s="278" t="n"/>
      <c r="EUH74" s="278" t="n"/>
      <c r="EUI74" s="278" t="n"/>
      <c r="EUJ74" s="278" t="n"/>
      <c r="EUK74" s="278" t="n"/>
      <c r="EUL74" s="278" t="n"/>
      <c r="EUM74" s="278" t="n"/>
      <c r="EUN74" s="278" t="n"/>
      <c r="EUO74" s="278" t="n"/>
      <c r="EUP74" s="278" t="n"/>
      <c r="EUQ74" s="278" t="n"/>
      <c r="EUR74" s="278" t="n"/>
      <c r="EUS74" s="278" t="n"/>
      <c r="EUT74" s="278" t="n"/>
      <c r="EUU74" s="278" t="n"/>
      <c r="EUV74" s="278" t="n"/>
      <c r="EUW74" s="278" t="n"/>
      <c r="EUX74" s="278" t="n"/>
      <c r="EUY74" s="278" t="n"/>
      <c r="EUZ74" s="278" t="n"/>
      <c r="EVA74" s="278" t="n"/>
      <c r="EVB74" s="278" t="n"/>
      <c r="EVC74" s="278" t="n"/>
      <c r="EVD74" s="278" t="n"/>
      <c r="EVE74" s="278" t="n"/>
      <c r="EVF74" s="278" t="n"/>
      <c r="EVG74" s="278" t="n"/>
      <c r="EVH74" s="278" t="n"/>
      <c r="EVI74" s="278" t="n"/>
      <c r="EVJ74" s="278" t="n"/>
      <c r="EVK74" s="278" t="n"/>
      <c r="EVL74" s="278" t="n"/>
      <c r="EVM74" s="278" t="n"/>
      <c r="EVN74" s="278" t="n"/>
      <c r="EVO74" s="278" t="n"/>
      <c r="EVP74" s="278" t="n"/>
      <c r="EVQ74" s="278" t="n"/>
      <c r="EVR74" s="278" t="n"/>
      <c r="EVS74" s="278" t="n"/>
      <c r="EVT74" s="278" t="n"/>
      <c r="EVU74" s="278" t="n"/>
      <c r="EVV74" s="278" t="n"/>
      <c r="EVW74" s="278" t="n"/>
      <c r="EVX74" s="278" t="n"/>
      <c r="EVY74" s="278" t="n"/>
      <c r="EVZ74" s="278" t="n"/>
      <c r="EWA74" s="278" t="n"/>
      <c r="EWB74" s="278" t="n"/>
      <c r="EWC74" s="278" t="n"/>
      <c r="EWD74" s="278" t="n"/>
      <c r="EWE74" s="278" t="n"/>
      <c r="EWF74" s="278" t="n"/>
      <c r="EWG74" s="278" t="n"/>
      <c r="EWH74" s="278" t="n"/>
      <c r="EWI74" s="278" t="n"/>
      <c r="EWJ74" s="278" t="n"/>
      <c r="EWK74" s="278" t="n"/>
      <c r="EWL74" s="278" t="n"/>
      <c r="EWM74" s="278" t="n"/>
      <c r="EWN74" s="278" t="n"/>
      <c r="EWO74" s="278" t="n"/>
      <c r="EWP74" s="278" t="n"/>
      <c r="EWQ74" s="278" t="n"/>
      <c r="EWR74" s="278" t="n"/>
      <c r="EWS74" s="278" t="n"/>
      <c r="EWT74" s="278" t="n"/>
      <c r="EWU74" s="278" t="n"/>
      <c r="EWV74" s="278" t="n"/>
      <c r="EWW74" s="278" t="n"/>
      <c r="EWX74" s="278" t="n"/>
      <c r="EWY74" s="278" t="n"/>
      <c r="EWZ74" s="278" t="n"/>
      <c r="EXA74" s="278" t="n"/>
      <c r="EXB74" s="278" t="n"/>
      <c r="EXC74" s="278" t="n"/>
      <c r="EXD74" s="278" t="n"/>
      <c r="EXE74" s="278" t="n"/>
      <c r="EXF74" s="278" t="n"/>
      <c r="EXG74" s="278" t="n"/>
      <c r="EXH74" s="278" t="n"/>
      <c r="EXI74" s="278" t="n"/>
      <c r="EXJ74" s="278" t="n"/>
      <c r="EXK74" s="278" t="n"/>
      <c r="EXL74" s="278" t="n"/>
      <c r="EXM74" s="278" t="n"/>
      <c r="EXN74" s="278" t="n"/>
      <c r="EXO74" s="278" t="n"/>
      <c r="EXP74" s="278" t="n"/>
      <c r="EXQ74" s="278" t="n"/>
      <c r="EXR74" s="278" t="n"/>
      <c r="EXS74" s="278" t="n"/>
      <c r="EXT74" s="278" t="n"/>
      <c r="EXU74" s="278" t="n"/>
      <c r="EXV74" s="278" t="n"/>
      <c r="EXW74" s="278" t="n"/>
      <c r="EXX74" s="278" t="n"/>
      <c r="EXY74" s="278" t="n"/>
      <c r="EXZ74" s="278" t="n"/>
      <c r="EYA74" s="278" t="n"/>
      <c r="EYB74" s="278" t="n"/>
      <c r="EYC74" s="278" t="n"/>
      <c r="EYD74" s="278" t="n"/>
      <c r="EYE74" s="278" t="n"/>
      <c r="EYF74" s="278" t="n"/>
      <c r="EYG74" s="278" t="n"/>
      <c r="EYH74" s="278" t="n"/>
      <c r="EYI74" s="278" t="n"/>
      <c r="EYJ74" s="278" t="n"/>
      <c r="EYK74" s="278" t="n"/>
      <c r="EYL74" s="278" t="n"/>
      <c r="EYM74" s="278" t="n"/>
      <c r="EYN74" s="278" t="n"/>
      <c r="EYO74" s="278" t="n"/>
      <c r="EYP74" s="278" t="n"/>
      <c r="EYQ74" s="278" t="n"/>
      <c r="EYR74" s="278" t="n"/>
      <c r="EYS74" s="278" t="n"/>
      <c r="EYT74" s="278" t="n"/>
      <c r="EYU74" s="278" t="n"/>
      <c r="EYV74" s="278" t="n"/>
      <c r="EYW74" s="278" t="n"/>
      <c r="EYX74" s="278" t="n"/>
      <c r="EYY74" s="278" t="n"/>
      <c r="EYZ74" s="278" t="n"/>
      <c r="EZA74" s="278" t="n"/>
      <c r="EZB74" s="278" t="n"/>
      <c r="EZC74" s="278" t="n"/>
      <c r="EZD74" s="278" t="n"/>
      <c r="EZE74" s="278" t="n"/>
      <c r="EZF74" s="278" t="n"/>
      <c r="EZG74" s="278" t="n"/>
      <c r="EZH74" s="278" t="n"/>
      <c r="EZI74" s="278" t="n"/>
      <c r="EZJ74" s="278" t="n"/>
      <c r="EZK74" s="278" t="n"/>
      <c r="EZL74" s="278" t="n"/>
      <c r="EZM74" s="278" t="n"/>
      <c r="EZN74" s="278" t="n"/>
      <c r="EZO74" s="278" t="n"/>
      <c r="EZP74" s="278" t="n"/>
      <c r="EZQ74" s="278" t="n"/>
      <c r="EZR74" s="278" t="n"/>
      <c r="EZS74" s="278" t="n"/>
      <c r="EZT74" s="278" t="n"/>
      <c r="EZU74" s="278" t="n"/>
      <c r="EZV74" s="278" t="n"/>
      <c r="EZW74" s="278" t="n"/>
      <c r="EZX74" s="278" t="n"/>
      <c r="EZY74" s="278" t="n"/>
      <c r="EZZ74" s="278" t="n"/>
      <c r="FAA74" s="278" t="n"/>
      <c r="FAB74" s="278" t="n"/>
      <c r="FAC74" s="278" t="n"/>
      <c r="FAD74" s="278" t="n"/>
      <c r="FAE74" s="278" t="n"/>
      <c r="FAF74" s="278" t="n"/>
      <c r="FAG74" s="278" t="n"/>
      <c r="FAH74" s="278" t="n"/>
      <c r="FAI74" s="278" t="n"/>
      <c r="FAJ74" s="278" t="n"/>
      <c r="FAK74" s="278" t="n"/>
      <c r="FAL74" s="278" t="n"/>
      <c r="FAM74" s="278" t="n"/>
      <c r="FAN74" s="278" t="n"/>
      <c r="FAO74" s="278" t="n"/>
      <c r="FAP74" s="278" t="n"/>
      <c r="FAQ74" s="278" t="n"/>
      <c r="FAR74" s="278" t="n"/>
      <c r="FAS74" s="278" t="n"/>
      <c r="FAT74" s="278" t="n"/>
      <c r="FAU74" s="278" t="n"/>
      <c r="FAV74" s="278" t="n"/>
      <c r="FAW74" s="278" t="n"/>
      <c r="FAX74" s="278" t="n"/>
      <c r="FAY74" s="278" t="n"/>
      <c r="FAZ74" s="278" t="n"/>
      <c r="FBA74" s="278" t="n"/>
      <c r="FBB74" s="278" t="n"/>
      <c r="FBC74" s="278" t="n"/>
      <c r="FBD74" s="278" t="n"/>
      <c r="FBE74" s="278" t="n"/>
      <c r="FBF74" s="278" t="n"/>
      <c r="FBG74" s="278" t="n"/>
      <c r="FBH74" s="278" t="n"/>
      <c r="FBI74" s="278" t="n"/>
      <c r="FBJ74" s="278" t="n"/>
      <c r="FBK74" s="278" t="n"/>
      <c r="FBL74" s="278" t="n"/>
      <c r="FBM74" s="278" t="n"/>
      <c r="FBN74" s="278" t="n"/>
      <c r="FBO74" s="278" t="n"/>
      <c r="FBP74" s="278" t="n"/>
      <c r="FBQ74" s="278" t="n"/>
      <c r="FBR74" s="278" t="n"/>
      <c r="FBS74" s="278" t="n"/>
      <c r="FBT74" s="278" t="n"/>
      <c r="FBU74" s="278" t="n"/>
      <c r="FBV74" s="278" t="n"/>
      <c r="FBW74" s="278" t="n"/>
      <c r="FBX74" s="278" t="n"/>
      <c r="FBY74" s="278" t="n"/>
      <c r="FBZ74" s="278" t="n"/>
      <c r="FCA74" s="278" t="n"/>
      <c r="FCB74" s="278" t="n"/>
      <c r="FCC74" s="278" t="n"/>
      <c r="FCD74" s="278" t="n"/>
      <c r="FCE74" s="278" t="n"/>
      <c r="FCF74" s="278" t="n"/>
      <c r="FCG74" s="278" t="n"/>
      <c r="FCH74" s="278" t="n"/>
      <c r="FCI74" s="278" t="n"/>
      <c r="FCJ74" s="278" t="n"/>
      <c r="FCK74" s="278" t="n"/>
      <c r="FCL74" s="278" t="n"/>
      <c r="FCM74" s="278" t="n"/>
      <c r="FCN74" s="278" t="n"/>
      <c r="FCO74" s="278" t="n"/>
      <c r="FCP74" s="278" t="n"/>
      <c r="FCQ74" s="278" t="n"/>
      <c r="FCR74" s="278" t="n"/>
      <c r="FCS74" s="278" t="n"/>
      <c r="FCT74" s="278" t="n"/>
      <c r="FCU74" s="278" t="n"/>
      <c r="FCV74" s="278" t="n"/>
      <c r="FCW74" s="278" t="n"/>
      <c r="FCX74" s="278" t="n"/>
      <c r="FCY74" s="278" t="n"/>
      <c r="FCZ74" s="278" t="n"/>
      <c r="FDA74" s="278" t="n"/>
      <c r="FDB74" s="278" t="n"/>
      <c r="FDC74" s="278" t="n"/>
      <c r="FDD74" s="278" t="n"/>
      <c r="FDE74" s="278" t="n"/>
      <c r="FDF74" s="278" t="n"/>
      <c r="FDG74" s="278" t="n"/>
      <c r="FDH74" s="278" t="n"/>
      <c r="FDI74" s="278" t="n"/>
      <c r="FDJ74" s="278" t="n"/>
      <c r="FDK74" s="278" t="n"/>
      <c r="FDL74" s="278" t="n"/>
      <c r="FDM74" s="278" t="n"/>
      <c r="FDN74" s="278" t="n"/>
      <c r="FDO74" s="278" t="n"/>
      <c r="FDP74" s="278" t="n"/>
      <c r="FDQ74" s="278" t="n"/>
      <c r="FDR74" s="278" t="n"/>
      <c r="FDS74" s="278" t="n"/>
      <c r="FDT74" s="278" t="n"/>
      <c r="FDU74" s="278" t="n"/>
      <c r="FDV74" s="278" t="n"/>
      <c r="FDW74" s="278" t="n"/>
      <c r="FDX74" s="278" t="n"/>
      <c r="FDY74" s="278" t="n"/>
      <c r="FDZ74" s="278" t="n"/>
      <c r="FEA74" s="278" t="n"/>
      <c r="FEB74" s="278" t="n"/>
      <c r="FEC74" s="278" t="n"/>
      <c r="FED74" s="278" t="n"/>
      <c r="FEE74" s="278" t="n"/>
      <c r="FEF74" s="278" t="n"/>
      <c r="FEG74" s="278" t="n"/>
      <c r="FEH74" s="278" t="n"/>
      <c r="FEI74" s="278" t="n"/>
      <c r="FEJ74" s="278" t="n"/>
      <c r="FEK74" s="278" t="n"/>
      <c r="FEL74" s="278" t="n"/>
      <c r="FEM74" s="278" t="n"/>
      <c r="FEN74" s="278" t="n"/>
      <c r="FEO74" s="278" t="n"/>
      <c r="FEP74" s="278" t="n"/>
      <c r="FEQ74" s="278" t="n"/>
      <c r="FER74" s="278" t="n"/>
      <c r="FES74" s="278" t="n"/>
      <c r="FET74" s="278" t="n"/>
      <c r="FEU74" s="278" t="n"/>
      <c r="FEV74" s="278" t="n"/>
      <c r="FEW74" s="278" t="n"/>
      <c r="FEX74" s="278" t="n"/>
      <c r="FEY74" s="278" t="n"/>
      <c r="FEZ74" s="278" t="n"/>
      <c r="FFA74" s="278" t="n"/>
      <c r="FFB74" s="278" t="n"/>
      <c r="FFC74" s="278" t="n"/>
      <c r="FFD74" s="278" t="n"/>
      <c r="FFE74" s="278" t="n"/>
      <c r="FFF74" s="278" t="n"/>
      <c r="FFG74" s="278" t="n"/>
      <c r="FFH74" s="278" t="n"/>
      <c r="FFI74" s="278" t="n"/>
      <c r="FFJ74" s="278" t="n"/>
      <c r="FFK74" s="278" t="n"/>
      <c r="FFL74" s="278" t="n"/>
      <c r="FFM74" s="278" t="n"/>
      <c r="FFN74" s="278" t="n"/>
      <c r="FFO74" s="278" t="n"/>
      <c r="FFP74" s="278" t="n"/>
      <c r="FFQ74" s="278" t="n"/>
      <c r="FFR74" s="278" t="n"/>
      <c r="FFS74" s="278" t="n"/>
      <c r="FFT74" s="278" t="n"/>
      <c r="FFU74" s="278" t="n"/>
      <c r="FFV74" s="278" t="n"/>
      <c r="FFW74" s="278" t="n"/>
      <c r="FFX74" s="278" t="n"/>
      <c r="FFY74" s="278" t="n"/>
      <c r="FFZ74" s="278" t="n"/>
      <c r="FGA74" s="278" t="n"/>
      <c r="FGB74" s="278" t="n"/>
      <c r="FGC74" s="278" t="n"/>
      <c r="FGD74" s="278" t="n"/>
      <c r="FGE74" s="278" t="n"/>
      <c r="FGF74" s="278" t="n"/>
      <c r="FGG74" s="278" t="n"/>
      <c r="FGH74" s="278" t="n"/>
      <c r="FGI74" s="278" t="n"/>
      <c r="FGJ74" s="278" t="n"/>
      <c r="FGK74" s="278" t="n"/>
      <c r="FGL74" s="278" t="n"/>
      <c r="FGM74" s="278" t="n"/>
      <c r="FGN74" s="278" t="n"/>
      <c r="FGO74" s="278" t="n"/>
      <c r="FGP74" s="278" t="n"/>
      <c r="FGQ74" s="278" t="n"/>
      <c r="FGR74" s="278" t="n"/>
      <c r="FGS74" s="278" t="n"/>
      <c r="FGT74" s="278" t="n"/>
      <c r="FGU74" s="278" t="n"/>
      <c r="FGV74" s="278" t="n"/>
      <c r="FGW74" s="278" t="n"/>
      <c r="FGX74" s="278" t="n"/>
      <c r="FGY74" s="278" t="n"/>
      <c r="FGZ74" s="278" t="n"/>
      <c r="FHA74" s="278" t="n"/>
      <c r="FHB74" s="278" t="n"/>
      <c r="FHC74" s="278" t="n"/>
      <c r="FHD74" s="278" t="n"/>
      <c r="FHE74" s="278" t="n"/>
      <c r="FHF74" s="278" t="n"/>
      <c r="FHG74" s="278" t="n"/>
      <c r="FHH74" s="278" t="n"/>
      <c r="FHI74" s="278" t="n"/>
      <c r="FHJ74" s="278" t="n"/>
      <c r="FHK74" s="278" t="n"/>
      <c r="FHL74" s="278" t="n"/>
      <c r="FHM74" s="278" t="n"/>
      <c r="FHN74" s="278" t="n"/>
      <c r="FHO74" s="278" t="n"/>
      <c r="FHP74" s="278" t="n"/>
      <c r="FHQ74" s="278" t="n"/>
      <c r="FHR74" s="278" t="n"/>
      <c r="FHS74" s="278" t="n"/>
      <c r="FHT74" s="278" t="n"/>
      <c r="FHU74" s="278" t="n"/>
      <c r="FHV74" s="278" t="n"/>
      <c r="FHW74" s="278" t="n"/>
      <c r="FHX74" s="278" t="n"/>
      <c r="FHY74" s="278" t="n"/>
      <c r="FHZ74" s="278" t="n"/>
      <c r="FIA74" s="278" t="n"/>
      <c r="FIB74" s="278" t="n"/>
      <c r="FIC74" s="278" t="n"/>
      <c r="FID74" s="278" t="n"/>
      <c r="FIE74" s="278" t="n"/>
      <c r="FIF74" s="278" t="n"/>
      <c r="FIG74" s="278" t="n"/>
      <c r="FIH74" s="278" t="n"/>
      <c r="FII74" s="278" t="n"/>
      <c r="FIJ74" s="278" t="n"/>
      <c r="FIK74" s="278" t="n"/>
      <c r="FIL74" s="278" t="n"/>
      <c r="FIM74" s="278" t="n"/>
      <c r="FIN74" s="278" t="n"/>
      <c r="FIO74" s="278" t="n"/>
      <c r="FIP74" s="278" t="n"/>
      <c r="FIQ74" s="278" t="n"/>
      <c r="FIR74" s="278" t="n"/>
      <c r="FIS74" s="278" t="n"/>
      <c r="FIT74" s="278" t="n"/>
      <c r="FIU74" s="278" t="n"/>
      <c r="FIV74" s="278" t="n"/>
      <c r="FIW74" s="278" t="n"/>
      <c r="FIX74" s="278" t="n"/>
      <c r="FIY74" s="278" t="n"/>
      <c r="FIZ74" s="278" t="n"/>
      <c r="FJA74" s="278" t="n"/>
      <c r="FJB74" s="278" t="n"/>
      <c r="FJC74" s="278" t="n"/>
      <c r="FJD74" s="278" t="n"/>
      <c r="FJE74" s="278" t="n"/>
      <c r="FJF74" s="278" t="n"/>
      <c r="FJG74" s="278" t="n"/>
      <c r="FJH74" s="278" t="n"/>
      <c r="FJI74" s="278" t="n"/>
      <c r="FJJ74" s="278" t="n"/>
      <c r="FJK74" s="278" t="n"/>
      <c r="FJL74" s="278" t="n"/>
      <c r="FJM74" s="278" t="n"/>
      <c r="FJN74" s="278" t="n"/>
      <c r="FJO74" s="278" t="n"/>
      <c r="FJP74" s="278" t="n"/>
      <c r="FJQ74" s="278" t="n"/>
      <c r="FJR74" s="278" t="n"/>
      <c r="FJS74" s="278" t="n"/>
      <c r="FJT74" s="278" t="n"/>
      <c r="FJU74" s="278" t="n"/>
      <c r="FJV74" s="278" t="n"/>
      <c r="FJW74" s="278" t="n"/>
      <c r="FJX74" s="278" t="n"/>
      <c r="FJY74" s="278" t="n"/>
      <c r="FJZ74" s="278" t="n"/>
      <c r="FKA74" s="278" t="n"/>
      <c r="FKB74" s="278" t="n"/>
      <c r="FKC74" s="278" t="n"/>
      <c r="FKD74" s="278" t="n"/>
      <c r="FKE74" s="278" t="n"/>
      <c r="FKF74" s="278" t="n"/>
      <c r="FKG74" s="278" t="n"/>
      <c r="FKH74" s="278" t="n"/>
      <c r="FKI74" s="278" t="n"/>
      <c r="FKJ74" s="278" t="n"/>
      <c r="FKK74" s="278" t="n"/>
      <c r="FKL74" s="278" t="n"/>
      <c r="FKM74" s="278" t="n"/>
      <c r="FKN74" s="278" t="n"/>
      <c r="FKO74" s="278" t="n"/>
      <c r="FKP74" s="278" t="n"/>
      <c r="FKQ74" s="278" t="n"/>
      <c r="FKR74" s="278" t="n"/>
      <c r="FKS74" s="278" t="n"/>
      <c r="FKT74" s="278" t="n"/>
      <c r="FKU74" s="278" t="n"/>
      <c r="FKV74" s="278" t="n"/>
      <c r="FKW74" s="278" t="n"/>
      <c r="FKX74" s="278" t="n"/>
      <c r="FKY74" s="278" t="n"/>
      <c r="FKZ74" s="278" t="n"/>
      <c r="FLA74" s="278" t="n"/>
      <c r="FLB74" s="278" t="n"/>
      <c r="FLC74" s="278" t="n"/>
      <c r="FLD74" s="278" t="n"/>
      <c r="FLE74" s="278" t="n"/>
      <c r="FLF74" s="278" t="n"/>
      <c r="FLG74" s="278" t="n"/>
      <c r="FLH74" s="278" t="n"/>
      <c r="FLI74" s="278" t="n"/>
      <c r="FLJ74" s="278" t="n"/>
      <c r="FLK74" s="278" t="n"/>
      <c r="FLL74" s="278" t="n"/>
      <c r="FLM74" s="278" t="n"/>
      <c r="FLN74" s="278" t="n"/>
      <c r="FLO74" s="278" t="n"/>
      <c r="FLP74" s="278" t="n"/>
      <c r="FLQ74" s="278" t="n"/>
      <c r="FLR74" s="278" t="n"/>
      <c r="FLS74" s="278" t="n"/>
      <c r="FLT74" s="278" t="n"/>
      <c r="FLU74" s="278" t="n"/>
      <c r="FLV74" s="278" t="n"/>
      <c r="FLW74" s="278" t="n"/>
      <c r="FLX74" s="278" t="n"/>
      <c r="FLY74" s="278" t="n"/>
      <c r="FLZ74" s="278" t="n"/>
      <c r="FMA74" s="278" t="n"/>
      <c r="FMB74" s="278" t="n"/>
      <c r="FMC74" s="278" t="n"/>
      <c r="FMD74" s="278" t="n"/>
      <c r="FME74" s="278" t="n"/>
      <c r="FMF74" s="278" t="n"/>
      <c r="FMG74" s="278" t="n"/>
      <c r="FMH74" s="278" t="n"/>
      <c r="FMI74" s="278" t="n"/>
      <c r="FMJ74" s="278" t="n"/>
      <c r="FMK74" s="278" t="n"/>
      <c r="FML74" s="278" t="n"/>
      <c r="FMM74" s="278" t="n"/>
      <c r="FMN74" s="278" t="n"/>
      <c r="FMO74" s="278" t="n"/>
      <c r="FMP74" s="278" t="n"/>
      <c r="FMQ74" s="278" t="n"/>
      <c r="FMR74" s="278" t="n"/>
      <c r="FMS74" s="278" t="n"/>
      <c r="FMT74" s="278" t="n"/>
      <c r="FMU74" s="278" t="n"/>
      <c r="FMV74" s="278" t="n"/>
      <c r="FMW74" s="278" t="n"/>
      <c r="FMX74" s="278" t="n"/>
      <c r="FMY74" s="278" t="n"/>
      <c r="FMZ74" s="278" t="n"/>
      <c r="FNA74" s="278" t="n"/>
      <c r="FNB74" s="278" t="n"/>
      <c r="FNC74" s="278" t="n"/>
      <c r="FND74" s="278" t="n"/>
      <c r="FNE74" s="278" t="n"/>
      <c r="FNF74" s="278" t="n"/>
      <c r="FNG74" s="278" t="n"/>
      <c r="FNH74" s="278" t="n"/>
      <c r="FNI74" s="278" t="n"/>
      <c r="FNJ74" s="278" t="n"/>
      <c r="FNK74" s="278" t="n"/>
      <c r="FNL74" s="278" t="n"/>
      <c r="FNM74" s="278" t="n"/>
      <c r="FNN74" s="278" t="n"/>
      <c r="FNO74" s="278" t="n"/>
      <c r="FNP74" s="278" t="n"/>
      <c r="FNQ74" s="278" t="n"/>
      <c r="FNR74" s="278" t="n"/>
      <c r="FNS74" s="278" t="n"/>
      <c r="FNT74" s="278" t="n"/>
      <c r="FNU74" s="278" t="n"/>
      <c r="FNV74" s="278" t="n"/>
      <c r="FNW74" s="278" t="n"/>
      <c r="FNX74" s="278" t="n"/>
      <c r="FNY74" s="278" t="n"/>
      <c r="FNZ74" s="278" t="n"/>
      <c r="FOA74" s="278" t="n"/>
      <c r="FOB74" s="278" t="n"/>
      <c r="FOC74" s="278" t="n"/>
      <c r="FOD74" s="278" t="n"/>
      <c r="FOE74" s="278" t="n"/>
      <c r="FOF74" s="278" t="n"/>
      <c r="FOG74" s="278" t="n"/>
      <c r="FOH74" s="278" t="n"/>
      <c r="FOI74" s="278" t="n"/>
      <c r="FOJ74" s="278" t="n"/>
      <c r="FOK74" s="278" t="n"/>
      <c r="FOL74" s="278" t="n"/>
      <c r="FOM74" s="278" t="n"/>
      <c r="FON74" s="278" t="n"/>
      <c r="FOO74" s="278" t="n"/>
      <c r="FOP74" s="278" t="n"/>
      <c r="FOQ74" s="278" t="n"/>
      <c r="FOR74" s="278" t="n"/>
      <c r="FOS74" s="278" t="n"/>
      <c r="FOT74" s="278" t="n"/>
      <c r="FOU74" s="278" t="n"/>
      <c r="FOV74" s="278" t="n"/>
      <c r="FOW74" s="278" t="n"/>
      <c r="FOX74" s="278" t="n"/>
      <c r="FOY74" s="278" t="n"/>
      <c r="FOZ74" s="278" t="n"/>
      <c r="FPA74" s="278" t="n"/>
      <c r="FPB74" s="278" t="n"/>
      <c r="FPC74" s="278" t="n"/>
      <c r="FPD74" s="278" t="n"/>
      <c r="FPE74" s="278" t="n"/>
      <c r="FPF74" s="278" t="n"/>
      <c r="FPG74" s="278" t="n"/>
      <c r="FPH74" s="278" t="n"/>
      <c r="FPI74" s="278" t="n"/>
      <c r="FPJ74" s="278" t="n"/>
      <c r="FPK74" s="278" t="n"/>
      <c r="FPL74" s="278" t="n"/>
      <c r="FPM74" s="278" t="n"/>
      <c r="FPN74" s="278" t="n"/>
      <c r="FPO74" s="278" t="n"/>
      <c r="FPP74" s="278" t="n"/>
      <c r="FPQ74" s="278" t="n"/>
      <c r="FPR74" s="278" t="n"/>
      <c r="FPS74" s="278" t="n"/>
      <c r="FPT74" s="278" t="n"/>
      <c r="FPU74" s="278" t="n"/>
      <c r="FPV74" s="278" t="n"/>
      <c r="FPW74" s="278" t="n"/>
      <c r="FPX74" s="278" t="n"/>
      <c r="FPY74" s="278" t="n"/>
      <c r="FPZ74" s="278" t="n"/>
      <c r="FQA74" s="278" t="n"/>
      <c r="FQB74" s="278" t="n"/>
      <c r="FQC74" s="278" t="n"/>
      <c r="FQD74" s="278" t="n"/>
      <c r="FQE74" s="278" t="n"/>
      <c r="FQF74" s="278" t="n"/>
      <c r="FQG74" s="278" t="n"/>
      <c r="FQH74" s="278" t="n"/>
      <c r="FQI74" s="278" t="n"/>
      <c r="FQJ74" s="278" t="n"/>
      <c r="FQK74" s="278" t="n"/>
      <c r="FQL74" s="278" t="n"/>
      <c r="FQM74" s="278" t="n"/>
      <c r="FQN74" s="278" t="n"/>
      <c r="FQO74" s="278" t="n"/>
      <c r="FQP74" s="278" t="n"/>
      <c r="FQQ74" s="278" t="n"/>
      <c r="FQR74" s="278" t="n"/>
      <c r="FQS74" s="278" t="n"/>
      <c r="FQT74" s="278" t="n"/>
      <c r="FQU74" s="278" t="n"/>
      <c r="FQV74" s="278" t="n"/>
      <c r="FQW74" s="278" t="n"/>
      <c r="FQX74" s="278" t="n"/>
      <c r="FQY74" s="278" t="n"/>
      <c r="FQZ74" s="278" t="n"/>
      <c r="FRA74" s="278" t="n"/>
      <c r="FRB74" s="278" t="n"/>
      <c r="FRC74" s="278" t="n"/>
      <c r="FRD74" s="278" t="n"/>
      <c r="FRE74" s="278" t="n"/>
      <c r="FRF74" s="278" t="n"/>
      <c r="FRG74" s="278" t="n"/>
      <c r="FRH74" s="278" t="n"/>
      <c r="FRI74" s="278" t="n"/>
      <c r="FRJ74" s="278" t="n"/>
      <c r="FRK74" s="278" t="n"/>
      <c r="FRL74" s="278" t="n"/>
      <c r="FRM74" s="278" t="n"/>
      <c r="FRN74" s="278" t="n"/>
      <c r="FRO74" s="278" t="n"/>
      <c r="FRP74" s="278" t="n"/>
      <c r="FRQ74" s="278" t="n"/>
      <c r="FRR74" s="278" t="n"/>
      <c r="FRS74" s="278" t="n"/>
      <c r="FRT74" s="278" t="n"/>
      <c r="FRU74" s="278" t="n"/>
      <c r="FRV74" s="278" t="n"/>
      <c r="FRW74" s="278" t="n"/>
      <c r="FRX74" s="278" t="n"/>
      <c r="FRY74" s="278" t="n"/>
      <c r="FRZ74" s="278" t="n"/>
      <c r="FSA74" s="278" t="n"/>
      <c r="FSB74" s="278" t="n"/>
      <c r="FSC74" s="278" t="n"/>
      <c r="FSD74" s="278" t="n"/>
      <c r="FSE74" s="278" t="n"/>
      <c r="FSF74" s="278" t="n"/>
      <c r="FSG74" s="278" t="n"/>
      <c r="FSH74" s="278" t="n"/>
      <c r="FSI74" s="278" t="n"/>
      <c r="FSJ74" s="278" t="n"/>
      <c r="FSK74" s="278" t="n"/>
      <c r="FSL74" s="278" t="n"/>
      <c r="FSM74" s="278" t="n"/>
      <c r="FSN74" s="278" t="n"/>
      <c r="FSO74" s="278" t="n"/>
      <c r="FSP74" s="278" t="n"/>
      <c r="FSQ74" s="278" t="n"/>
      <c r="FSR74" s="278" t="n"/>
      <c r="FSS74" s="278" t="n"/>
      <c r="FST74" s="278" t="n"/>
      <c r="FSU74" s="278" t="n"/>
      <c r="FSV74" s="278" t="n"/>
      <c r="FSW74" s="278" t="n"/>
      <c r="FSX74" s="278" t="n"/>
      <c r="FSY74" s="278" t="n"/>
      <c r="FSZ74" s="278" t="n"/>
      <c r="FTA74" s="278" t="n"/>
      <c r="FTB74" s="278" t="n"/>
      <c r="FTC74" s="278" t="n"/>
      <c r="FTD74" s="278" t="n"/>
      <c r="FTE74" s="278" t="n"/>
      <c r="FTF74" s="278" t="n"/>
      <c r="FTG74" s="278" t="n"/>
      <c r="FTH74" s="278" t="n"/>
      <c r="FTI74" s="278" t="n"/>
      <c r="FTJ74" s="278" t="n"/>
      <c r="FTK74" s="278" t="n"/>
      <c r="FTL74" s="278" t="n"/>
      <c r="FTM74" s="278" t="n"/>
      <c r="FTN74" s="278" t="n"/>
      <c r="FTO74" s="278" t="n"/>
      <c r="FTP74" s="278" t="n"/>
      <c r="FTQ74" s="278" t="n"/>
      <c r="FTR74" s="278" t="n"/>
      <c r="FTS74" s="278" t="n"/>
      <c r="FTT74" s="278" t="n"/>
      <c r="FTU74" s="278" t="n"/>
      <c r="FTV74" s="278" t="n"/>
      <c r="FTW74" s="278" t="n"/>
      <c r="FTX74" s="278" t="n"/>
      <c r="FTY74" s="278" t="n"/>
      <c r="FTZ74" s="278" t="n"/>
      <c r="FUA74" s="278" t="n"/>
      <c r="FUB74" s="278" t="n"/>
      <c r="FUC74" s="278" t="n"/>
      <c r="FUD74" s="278" t="n"/>
      <c r="FUE74" s="278" t="n"/>
      <c r="FUF74" s="278" t="n"/>
      <c r="FUG74" s="278" t="n"/>
      <c r="FUH74" s="278" t="n"/>
      <c r="FUI74" s="278" t="n"/>
      <c r="FUJ74" s="278" t="n"/>
      <c r="FUK74" s="278" t="n"/>
      <c r="FUL74" s="278" t="n"/>
      <c r="FUM74" s="278" t="n"/>
      <c r="FUN74" s="278" t="n"/>
      <c r="FUO74" s="278" t="n"/>
      <c r="FUP74" s="278" t="n"/>
      <c r="FUQ74" s="278" t="n"/>
      <c r="FUR74" s="278" t="n"/>
      <c r="FUS74" s="278" t="n"/>
      <c r="FUT74" s="278" t="n"/>
      <c r="FUU74" s="278" t="n"/>
      <c r="FUV74" s="278" t="n"/>
      <c r="FUW74" s="278" t="n"/>
      <c r="FUX74" s="278" t="n"/>
      <c r="FUY74" s="278" t="n"/>
      <c r="FUZ74" s="278" t="n"/>
      <c r="FVA74" s="278" t="n"/>
      <c r="FVB74" s="278" t="n"/>
      <c r="FVC74" s="278" t="n"/>
      <c r="FVD74" s="278" t="n"/>
      <c r="FVE74" s="278" t="n"/>
      <c r="FVF74" s="278" t="n"/>
      <c r="FVG74" s="278" t="n"/>
      <c r="FVH74" s="278" t="n"/>
      <c r="FVI74" s="278" t="n"/>
      <c r="FVJ74" s="278" t="n"/>
      <c r="FVK74" s="278" t="n"/>
      <c r="FVL74" s="278" t="n"/>
      <c r="FVM74" s="278" t="n"/>
      <c r="FVN74" s="278" t="n"/>
      <c r="FVO74" s="278" t="n"/>
      <c r="FVP74" s="278" t="n"/>
      <c r="FVQ74" s="278" t="n"/>
      <c r="FVR74" s="278" t="n"/>
      <c r="FVS74" s="278" t="n"/>
      <c r="FVT74" s="278" t="n"/>
      <c r="FVU74" s="278" t="n"/>
      <c r="FVV74" s="278" t="n"/>
      <c r="FVW74" s="278" t="n"/>
      <c r="FVX74" s="278" t="n"/>
      <c r="FVY74" s="278" t="n"/>
      <c r="FVZ74" s="278" t="n"/>
      <c r="FWA74" s="278" t="n"/>
      <c r="FWB74" s="278" t="n"/>
      <c r="FWC74" s="278" t="n"/>
      <c r="FWD74" s="278" t="n"/>
      <c r="FWE74" s="278" t="n"/>
      <c r="FWF74" s="278" t="n"/>
      <c r="FWG74" s="278" t="n"/>
      <c r="FWH74" s="278" t="n"/>
      <c r="FWI74" s="278" t="n"/>
      <c r="FWJ74" s="278" t="n"/>
      <c r="FWK74" s="278" t="n"/>
      <c r="FWL74" s="278" t="n"/>
      <c r="FWM74" s="278" t="n"/>
      <c r="FWN74" s="278" t="n"/>
      <c r="FWO74" s="278" t="n"/>
      <c r="FWP74" s="278" t="n"/>
      <c r="FWQ74" s="278" t="n"/>
      <c r="FWR74" s="278" t="n"/>
      <c r="FWS74" s="278" t="n"/>
      <c r="FWT74" s="278" t="n"/>
      <c r="FWU74" s="278" t="n"/>
      <c r="FWV74" s="278" t="n"/>
      <c r="FWW74" s="278" t="n"/>
      <c r="FWX74" s="278" t="n"/>
      <c r="FWY74" s="278" t="n"/>
      <c r="FWZ74" s="278" t="n"/>
      <c r="FXA74" s="278" t="n"/>
      <c r="FXB74" s="278" t="n"/>
      <c r="FXC74" s="278" t="n"/>
      <c r="FXD74" s="278" t="n"/>
      <c r="FXE74" s="278" t="n"/>
      <c r="FXF74" s="278" t="n"/>
      <c r="FXG74" s="278" t="n"/>
      <c r="FXH74" s="278" t="n"/>
      <c r="FXI74" s="278" t="n"/>
      <c r="FXJ74" s="278" t="n"/>
      <c r="FXK74" s="278" t="n"/>
      <c r="FXL74" s="278" t="n"/>
      <c r="FXM74" s="278" t="n"/>
      <c r="FXN74" s="278" t="n"/>
      <c r="FXO74" s="278" t="n"/>
      <c r="FXP74" s="278" t="n"/>
      <c r="FXQ74" s="278" t="n"/>
      <c r="FXR74" s="278" t="n"/>
      <c r="FXS74" s="278" t="n"/>
      <c r="FXT74" s="278" t="n"/>
      <c r="FXU74" s="278" t="n"/>
      <c r="FXV74" s="278" t="n"/>
      <c r="FXW74" s="278" t="n"/>
      <c r="FXX74" s="278" t="n"/>
      <c r="FXY74" s="278" t="n"/>
      <c r="FXZ74" s="278" t="n"/>
      <c r="FYA74" s="278" t="n"/>
      <c r="FYB74" s="278" t="n"/>
      <c r="FYC74" s="278" t="n"/>
      <c r="FYD74" s="278" t="n"/>
      <c r="FYE74" s="278" t="n"/>
      <c r="FYF74" s="278" t="n"/>
      <c r="FYG74" s="278" t="n"/>
      <c r="FYH74" s="278" t="n"/>
      <c r="FYI74" s="278" t="n"/>
      <c r="FYJ74" s="278" t="n"/>
      <c r="FYK74" s="278" t="n"/>
      <c r="FYL74" s="278" t="n"/>
      <c r="FYM74" s="278" t="n"/>
      <c r="FYN74" s="278" t="n"/>
      <c r="FYO74" s="278" t="n"/>
      <c r="FYP74" s="278" t="n"/>
      <c r="FYQ74" s="278" t="n"/>
      <c r="FYR74" s="278" t="n"/>
      <c r="FYS74" s="278" t="n"/>
      <c r="FYT74" s="278" t="n"/>
      <c r="FYU74" s="278" t="n"/>
      <c r="FYV74" s="278" t="n"/>
      <c r="FYW74" s="278" t="n"/>
      <c r="FYX74" s="278" t="n"/>
      <c r="FYY74" s="278" t="n"/>
      <c r="FYZ74" s="278" t="n"/>
      <c r="FZA74" s="278" t="n"/>
      <c r="FZB74" s="278" t="n"/>
      <c r="FZC74" s="278" t="n"/>
      <c r="FZD74" s="278" t="n"/>
      <c r="FZE74" s="278" t="n"/>
      <c r="FZF74" s="278" t="n"/>
      <c r="FZG74" s="278" t="n"/>
      <c r="FZH74" s="278" t="n"/>
      <c r="FZI74" s="278" t="n"/>
      <c r="FZJ74" s="278" t="n"/>
      <c r="FZK74" s="278" t="n"/>
      <c r="FZL74" s="278" t="n"/>
      <c r="FZM74" s="278" t="n"/>
      <c r="FZN74" s="278" t="n"/>
      <c r="FZO74" s="278" t="n"/>
      <c r="FZP74" s="278" t="n"/>
      <c r="FZQ74" s="278" t="n"/>
      <c r="FZR74" s="278" t="n"/>
      <c r="FZS74" s="278" t="n"/>
      <c r="FZT74" s="278" t="n"/>
      <c r="FZU74" s="278" t="n"/>
      <c r="FZV74" s="278" t="n"/>
      <c r="FZW74" s="278" t="n"/>
      <c r="FZX74" s="278" t="n"/>
      <c r="FZY74" s="278" t="n"/>
      <c r="FZZ74" s="278" t="n"/>
      <c r="GAA74" s="278" t="n"/>
      <c r="GAB74" s="278" t="n"/>
      <c r="GAC74" s="278" t="n"/>
      <c r="GAD74" s="278" t="n"/>
      <c r="GAE74" s="278" t="n"/>
      <c r="GAF74" s="278" t="n"/>
      <c r="GAG74" s="278" t="n"/>
      <c r="GAH74" s="278" t="n"/>
      <c r="GAI74" s="278" t="n"/>
      <c r="GAJ74" s="278" t="n"/>
      <c r="GAK74" s="278" t="n"/>
      <c r="GAL74" s="278" t="n"/>
      <c r="GAM74" s="278" t="n"/>
      <c r="GAN74" s="278" t="n"/>
      <c r="GAO74" s="278" t="n"/>
      <c r="GAP74" s="278" t="n"/>
      <c r="GAQ74" s="278" t="n"/>
      <c r="GAR74" s="278" t="n"/>
      <c r="GAS74" s="278" t="n"/>
      <c r="GAT74" s="278" t="n"/>
      <c r="GAU74" s="278" t="n"/>
      <c r="GAV74" s="278" t="n"/>
      <c r="GAW74" s="278" t="n"/>
      <c r="GAX74" s="278" t="n"/>
      <c r="GAY74" s="278" t="n"/>
      <c r="GAZ74" s="278" t="n"/>
      <c r="GBA74" s="278" t="n"/>
      <c r="GBB74" s="278" t="n"/>
      <c r="GBC74" s="278" t="n"/>
      <c r="GBD74" s="278" t="n"/>
      <c r="GBE74" s="278" t="n"/>
      <c r="GBF74" s="278" t="n"/>
      <c r="GBG74" s="278" t="n"/>
      <c r="GBH74" s="278" t="n"/>
      <c r="GBI74" s="278" t="n"/>
      <c r="GBJ74" s="278" t="n"/>
      <c r="GBK74" s="278" t="n"/>
      <c r="GBL74" s="278" t="n"/>
      <c r="GBM74" s="278" t="n"/>
      <c r="GBN74" s="278" t="n"/>
      <c r="GBO74" s="278" t="n"/>
      <c r="GBP74" s="278" t="n"/>
      <c r="GBQ74" s="278" t="n"/>
      <c r="GBR74" s="278" t="n"/>
      <c r="GBS74" s="278" t="n"/>
      <c r="GBT74" s="278" t="n"/>
      <c r="GBU74" s="278" t="n"/>
      <c r="GBV74" s="278" t="n"/>
      <c r="GBW74" s="278" t="n"/>
      <c r="GBX74" s="278" t="n"/>
      <c r="GBY74" s="278" t="n"/>
      <c r="GBZ74" s="278" t="n"/>
      <c r="GCA74" s="278" t="n"/>
      <c r="GCB74" s="278" t="n"/>
      <c r="GCC74" s="278" t="n"/>
      <c r="GCD74" s="278" t="n"/>
      <c r="GCE74" s="278" t="n"/>
      <c r="GCF74" s="278" t="n"/>
      <c r="GCG74" s="278" t="n"/>
      <c r="GCH74" s="278" t="n"/>
      <c r="GCI74" s="278" t="n"/>
      <c r="GCJ74" s="278" t="n"/>
      <c r="GCK74" s="278" t="n"/>
      <c r="GCL74" s="278" t="n"/>
      <c r="GCM74" s="278" t="n"/>
      <c r="GCN74" s="278" t="n"/>
      <c r="GCO74" s="278" t="n"/>
      <c r="GCP74" s="278" t="n"/>
      <c r="GCQ74" s="278" t="n"/>
      <c r="GCR74" s="278" t="n"/>
      <c r="GCS74" s="278" t="n"/>
      <c r="GCT74" s="278" t="n"/>
      <c r="GCU74" s="278" t="n"/>
      <c r="GCV74" s="278" t="n"/>
      <c r="GCW74" s="278" t="n"/>
      <c r="GCX74" s="278" t="n"/>
      <c r="GCY74" s="278" t="n"/>
      <c r="GCZ74" s="278" t="n"/>
      <c r="GDA74" s="278" t="n"/>
      <c r="GDB74" s="278" t="n"/>
      <c r="GDC74" s="278" t="n"/>
      <c r="GDD74" s="278" t="n"/>
      <c r="GDE74" s="278" t="n"/>
      <c r="GDF74" s="278" t="n"/>
      <c r="GDG74" s="278" t="n"/>
      <c r="GDH74" s="278" t="n"/>
      <c r="GDI74" s="278" t="n"/>
      <c r="GDJ74" s="278" t="n"/>
      <c r="GDK74" s="278" t="n"/>
      <c r="GDL74" s="278" t="n"/>
      <c r="GDM74" s="278" t="n"/>
      <c r="GDN74" s="278" t="n"/>
      <c r="GDO74" s="278" t="n"/>
      <c r="GDP74" s="278" t="n"/>
      <c r="GDQ74" s="278" t="n"/>
      <c r="GDR74" s="278" t="n"/>
      <c r="GDS74" s="278" t="n"/>
      <c r="GDT74" s="278" t="n"/>
      <c r="GDU74" s="278" t="n"/>
      <c r="GDV74" s="278" t="n"/>
      <c r="GDW74" s="278" t="n"/>
      <c r="GDX74" s="278" t="n"/>
      <c r="GDY74" s="278" t="n"/>
      <c r="GDZ74" s="278" t="n"/>
      <c r="GEA74" s="278" t="n"/>
      <c r="GEB74" s="278" t="n"/>
      <c r="GEC74" s="278" t="n"/>
      <c r="GED74" s="278" t="n"/>
      <c r="GEE74" s="278" t="n"/>
      <c r="GEF74" s="278" t="n"/>
      <c r="GEG74" s="278" t="n"/>
      <c r="GEH74" s="278" t="n"/>
      <c r="GEI74" s="278" t="n"/>
      <c r="GEJ74" s="278" t="n"/>
      <c r="GEK74" s="278" t="n"/>
      <c r="GEL74" s="278" t="n"/>
      <c r="GEM74" s="278" t="n"/>
      <c r="GEN74" s="278" t="n"/>
      <c r="GEO74" s="278" t="n"/>
      <c r="GEP74" s="278" t="n"/>
      <c r="GEQ74" s="278" t="n"/>
      <c r="GER74" s="278" t="n"/>
      <c r="GES74" s="278" t="n"/>
      <c r="GET74" s="278" t="n"/>
      <c r="GEU74" s="278" t="n"/>
      <c r="GEV74" s="278" t="n"/>
      <c r="GEW74" s="278" t="n"/>
      <c r="GEX74" s="278" t="n"/>
      <c r="GEY74" s="278" t="n"/>
      <c r="GEZ74" s="278" t="n"/>
      <c r="GFA74" s="278" t="n"/>
      <c r="GFB74" s="278" t="n"/>
      <c r="GFC74" s="278" t="n"/>
      <c r="GFD74" s="278" t="n"/>
      <c r="GFE74" s="278" t="n"/>
      <c r="GFF74" s="278" t="n"/>
      <c r="GFG74" s="278" t="n"/>
      <c r="GFH74" s="278" t="n"/>
      <c r="GFI74" s="278" t="n"/>
      <c r="GFJ74" s="278" t="n"/>
      <c r="GFK74" s="278" t="n"/>
      <c r="GFL74" s="278" t="n"/>
      <c r="GFM74" s="278" t="n"/>
      <c r="GFN74" s="278" t="n"/>
      <c r="GFO74" s="278" t="n"/>
      <c r="GFP74" s="278" t="n"/>
      <c r="GFQ74" s="278" t="n"/>
      <c r="GFR74" s="278" t="n"/>
      <c r="GFS74" s="278" t="n"/>
      <c r="GFT74" s="278" t="n"/>
      <c r="GFU74" s="278" t="n"/>
      <c r="GFV74" s="278" t="n"/>
      <c r="GFW74" s="278" t="n"/>
      <c r="GFX74" s="278" t="n"/>
      <c r="GFY74" s="278" t="n"/>
      <c r="GFZ74" s="278" t="n"/>
      <c r="GGA74" s="278" t="n"/>
      <c r="GGB74" s="278" t="n"/>
      <c r="GGC74" s="278" t="n"/>
      <c r="GGD74" s="278" t="n"/>
      <c r="GGE74" s="278" t="n"/>
      <c r="GGF74" s="278" t="n"/>
      <c r="GGG74" s="278" t="n"/>
      <c r="GGH74" s="278" t="n"/>
      <c r="GGI74" s="278" t="n"/>
      <c r="GGJ74" s="278" t="n"/>
      <c r="GGK74" s="278" t="n"/>
      <c r="GGL74" s="278" t="n"/>
      <c r="GGM74" s="278" t="n"/>
      <c r="GGN74" s="278" t="n"/>
      <c r="GGO74" s="278" t="n"/>
      <c r="GGP74" s="278" t="n"/>
      <c r="GGQ74" s="278" t="n"/>
      <c r="GGR74" s="278" t="n"/>
      <c r="GGS74" s="278" t="n"/>
      <c r="GGT74" s="278" t="n"/>
      <c r="GGU74" s="278" t="n"/>
      <c r="GGV74" s="278" t="n"/>
      <c r="GGW74" s="278" t="n"/>
      <c r="GGX74" s="278" t="n"/>
      <c r="GGY74" s="278" t="n"/>
      <c r="GGZ74" s="278" t="n"/>
      <c r="GHA74" s="278" t="n"/>
      <c r="GHB74" s="278" t="n"/>
      <c r="GHC74" s="278" t="n"/>
      <c r="GHD74" s="278" t="n"/>
      <c r="GHE74" s="278" t="n"/>
      <c r="GHF74" s="278" t="n"/>
      <c r="GHG74" s="278" t="n"/>
      <c r="GHH74" s="278" t="n"/>
      <c r="GHI74" s="278" t="n"/>
      <c r="GHJ74" s="278" t="n"/>
      <c r="GHK74" s="278" t="n"/>
      <c r="GHL74" s="278" t="n"/>
      <c r="GHM74" s="278" t="n"/>
      <c r="GHN74" s="278" t="n"/>
      <c r="GHO74" s="278" t="n"/>
      <c r="GHP74" s="278" t="n"/>
      <c r="GHQ74" s="278" t="n"/>
      <c r="GHR74" s="278" t="n"/>
      <c r="GHS74" s="278" t="n"/>
      <c r="GHT74" s="278" t="n"/>
      <c r="GHU74" s="278" t="n"/>
      <c r="GHV74" s="278" t="n"/>
      <c r="GHW74" s="278" t="n"/>
      <c r="GHX74" s="278" t="n"/>
      <c r="GHY74" s="278" t="n"/>
      <c r="GHZ74" s="278" t="n"/>
      <c r="GIA74" s="278" t="n"/>
      <c r="GIB74" s="278" t="n"/>
      <c r="GIC74" s="278" t="n"/>
      <c r="GID74" s="278" t="n"/>
      <c r="GIE74" s="278" t="n"/>
      <c r="GIF74" s="278" t="n"/>
      <c r="GIG74" s="278" t="n"/>
      <c r="GIH74" s="278" t="n"/>
      <c r="GII74" s="278" t="n"/>
      <c r="GIJ74" s="278" t="n"/>
      <c r="GIK74" s="278" t="n"/>
      <c r="GIL74" s="278" t="n"/>
      <c r="GIM74" s="278" t="n"/>
      <c r="GIN74" s="278" t="n"/>
      <c r="GIO74" s="278" t="n"/>
      <c r="GIP74" s="278" t="n"/>
      <c r="GIQ74" s="278" t="n"/>
      <c r="GIR74" s="278" t="n"/>
      <c r="GIS74" s="278" t="n"/>
      <c r="GIT74" s="278" t="n"/>
      <c r="GIU74" s="278" t="n"/>
      <c r="GIV74" s="278" t="n"/>
      <c r="GIW74" s="278" t="n"/>
      <c r="GIX74" s="278" t="n"/>
      <c r="GIY74" s="278" t="n"/>
      <c r="GIZ74" s="278" t="n"/>
      <c r="GJA74" s="278" t="n"/>
      <c r="GJB74" s="278" t="n"/>
      <c r="GJC74" s="278" t="n"/>
      <c r="GJD74" s="278" t="n"/>
      <c r="GJE74" s="278" t="n"/>
      <c r="GJF74" s="278" t="n"/>
      <c r="GJG74" s="278" t="n"/>
      <c r="GJH74" s="278" t="n"/>
      <c r="GJI74" s="278" t="n"/>
      <c r="GJJ74" s="278" t="n"/>
      <c r="GJK74" s="278" t="n"/>
      <c r="GJL74" s="278" t="n"/>
      <c r="GJM74" s="278" t="n"/>
      <c r="GJN74" s="278" t="n"/>
      <c r="GJO74" s="278" t="n"/>
      <c r="GJP74" s="278" t="n"/>
      <c r="GJQ74" s="278" t="n"/>
      <c r="GJR74" s="278" t="n"/>
      <c r="GJS74" s="278" t="n"/>
      <c r="GJT74" s="278" t="n"/>
      <c r="GJU74" s="278" t="n"/>
      <c r="GJV74" s="278" t="n"/>
      <c r="GJW74" s="278" t="n"/>
      <c r="GJX74" s="278" t="n"/>
      <c r="GJY74" s="278" t="n"/>
      <c r="GJZ74" s="278" t="n"/>
      <c r="GKA74" s="278" t="n"/>
      <c r="GKB74" s="278" t="n"/>
      <c r="GKC74" s="278" t="n"/>
      <c r="GKD74" s="278" t="n"/>
      <c r="GKE74" s="278" t="n"/>
      <c r="GKF74" s="278" t="n"/>
      <c r="GKG74" s="278" t="n"/>
      <c r="GKH74" s="278" t="n"/>
      <c r="GKI74" s="278" t="n"/>
      <c r="GKJ74" s="278" t="n"/>
      <c r="GKK74" s="278" t="n"/>
      <c r="GKL74" s="278" t="n"/>
      <c r="GKM74" s="278" t="n"/>
      <c r="GKN74" s="278" t="n"/>
      <c r="GKO74" s="278" t="n"/>
      <c r="GKP74" s="278" t="n"/>
      <c r="GKQ74" s="278" t="n"/>
      <c r="GKR74" s="278" t="n"/>
      <c r="GKS74" s="278" t="n"/>
      <c r="GKT74" s="278" t="n"/>
      <c r="GKU74" s="278" t="n"/>
      <c r="GKV74" s="278" t="n"/>
      <c r="GKW74" s="278" t="n"/>
      <c r="GKX74" s="278" t="n"/>
      <c r="GKY74" s="278" t="n"/>
      <c r="GKZ74" s="278" t="n"/>
      <c r="GLA74" s="278" t="n"/>
      <c r="GLB74" s="278" t="n"/>
      <c r="GLC74" s="278" t="n"/>
      <c r="GLD74" s="278" t="n"/>
      <c r="GLE74" s="278" t="n"/>
      <c r="GLF74" s="278" t="n"/>
      <c r="GLG74" s="278" t="n"/>
      <c r="GLH74" s="278" t="n"/>
      <c r="GLI74" s="278" t="n"/>
      <c r="GLJ74" s="278" t="n"/>
      <c r="GLK74" s="278" t="n"/>
      <c r="GLL74" s="278" t="n"/>
      <c r="GLM74" s="278" t="n"/>
      <c r="GLN74" s="278" t="n"/>
      <c r="GLO74" s="278" t="n"/>
      <c r="GLP74" s="278" t="n"/>
      <c r="GLQ74" s="278" t="n"/>
      <c r="GLR74" s="278" t="n"/>
      <c r="GLS74" s="278" t="n"/>
      <c r="GLT74" s="278" t="n"/>
      <c r="GLU74" s="278" t="n"/>
      <c r="GLV74" s="278" t="n"/>
      <c r="GLW74" s="278" t="n"/>
      <c r="GLX74" s="278" t="n"/>
      <c r="GLY74" s="278" t="n"/>
      <c r="GLZ74" s="278" t="n"/>
      <c r="GMA74" s="278" t="n"/>
      <c r="GMB74" s="278" t="n"/>
      <c r="GMC74" s="278" t="n"/>
      <c r="GMD74" s="278" t="n"/>
      <c r="GME74" s="278" t="n"/>
      <c r="GMF74" s="278" t="n"/>
      <c r="GMG74" s="278" t="n"/>
      <c r="GMH74" s="278" t="n"/>
      <c r="GMI74" s="278" t="n"/>
      <c r="GMJ74" s="278" t="n"/>
      <c r="GMK74" s="278" t="n"/>
      <c r="GML74" s="278" t="n"/>
      <c r="GMM74" s="278" t="n"/>
      <c r="GMN74" s="278" t="n"/>
      <c r="GMO74" s="278" t="n"/>
      <c r="GMP74" s="278" t="n"/>
      <c r="GMQ74" s="278" t="n"/>
      <c r="GMR74" s="278" t="n"/>
      <c r="GMS74" s="278" t="n"/>
      <c r="GMT74" s="278" t="n"/>
      <c r="GMU74" s="278" t="n"/>
      <c r="GMV74" s="278" t="n"/>
      <c r="GMW74" s="278" t="n"/>
      <c r="GMX74" s="278" t="n"/>
      <c r="GMY74" s="278" t="n"/>
      <c r="GMZ74" s="278" t="n"/>
      <c r="GNA74" s="278" t="n"/>
      <c r="GNB74" s="278" t="n"/>
      <c r="GNC74" s="278" t="n"/>
      <c r="GND74" s="278" t="n"/>
      <c r="GNE74" s="278" t="n"/>
      <c r="GNF74" s="278" t="n"/>
      <c r="GNG74" s="278" t="n"/>
      <c r="GNH74" s="278" t="n"/>
      <c r="GNI74" s="278" t="n"/>
      <c r="GNJ74" s="278" t="n"/>
      <c r="GNK74" s="278" t="n"/>
      <c r="GNL74" s="278" t="n"/>
      <c r="GNM74" s="278" t="n"/>
      <c r="GNN74" s="278" t="n"/>
      <c r="GNO74" s="278" t="n"/>
      <c r="GNP74" s="278" t="n"/>
      <c r="GNQ74" s="278" t="n"/>
      <c r="GNR74" s="278" t="n"/>
      <c r="GNS74" s="278" t="n"/>
      <c r="GNT74" s="278" t="n"/>
      <c r="GNU74" s="278" t="n"/>
      <c r="GNV74" s="278" t="n"/>
      <c r="GNW74" s="278" t="n"/>
      <c r="GNX74" s="278" t="n"/>
      <c r="GNY74" s="278" t="n"/>
      <c r="GNZ74" s="278" t="n"/>
      <c r="GOA74" s="278" t="n"/>
      <c r="GOB74" s="278" t="n"/>
      <c r="GOC74" s="278" t="n"/>
      <c r="GOD74" s="278" t="n"/>
      <c r="GOE74" s="278" t="n"/>
      <c r="GOF74" s="278" t="n"/>
      <c r="GOG74" s="278" t="n"/>
      <c r="GOH74" s="278" t="n"/>
      <c r="GOI74" s="278" t="n"/>
      <c r="GOJ74" s="278" t="n"/>
      <c r="GOK74" s="278" t="n"/>
      <c r="GOL74" s="278" t="n"/>
      <c r="GOM74" s="278" t="n"/>
      <c r="GON74" s="278" t="n"/>
      <c r="GOO74" s="278" t="n"/>
      <c r="GOP74" s="278" t="n"/>
      <c r="GOQ74" s="278" t="n"/>
      <c r="GOR74" s="278" t="n"/>
      <c r="GOS74" s="278" t="n"/>
      <c r="GOT74" s="278" t="n"/>
      <c r="GOU74" s="278" t="n"/>
      <c r="GOV74" s="278" t="n"/>
      <c r="GOW74" s="278" t="n"/>
      <c r="GOX74" s="278" t="n"/>
      <c r="GOY74" s="278" t="n"/>
      <c r="GOZ74" s="278" t="n"/>
      <c r="GPA74" s="278" t="n"/>
      <c r="GPB74" s="278" t="n"/>
      <c r="GPC74" s="278" t="n"/>
      <c r="GPD74" s="278" t="n"/>
      <c r="GPE74" s="278" t="n"/>
      <c r="GPF74" s="278" t="n"/>
      <c r="GPG74" s="278" t="n"/>
      <c r="GPH74" s="278" t="n"/>
      <c r="GPI74" s="278" t="n"/>
      <c r="GPJ74" s="278" t="n"/>
      <c r="GPK74" s="278" t="n"/>
      <c r="GPL74" s="278" t="n"/>
      <c r="GPM74" s="278" t="n"/>
      <c r="GPN74" s="278" t="n"/>
      <c r="GPO74" s="278" t="n"/>
      <c r="GPP74" s="278" t="n"/>
      <c r="GPQ74" s="278" t="n"/>
      <c r="GPR74" s="278" t="n"/>
      <c r="GPS74" s="278" t="n"/>
      <c r="GPT74" s="278" t="n"/>
      <c r="GPU74" s="278" t="n"/>
      <c r="GPV74" s="278" t="n"/>
      <c r="GPW74" s="278" t="n"/>
      <c r="GPX74" s="278" t="n"/>
      <c r="GPY74" s="278" t="n"/>
      <c r="GPZ74" s="278" t="n"/>
      <c r="GQA74" s="278" t="n"/>
      <c r="GQB74" s="278" t="n"/>
      <c r="GQC74" s="278" t="n"/>
      <c r="GQD74" s="278" t="n"/>
      <c r="GQE74" s="278" t="n"/>
      <c r="GQF74" s="278" t="n"/>
      <c r="GQG74" s="278" t="n"/>
      <c r="GQH74" s="278" t="n"/>
      <c r="GQI74" s="278" t="n"/>
      <c r="GQJ74" s="278" t="n"/>
      <c r="GQK74" s="278" t="n"/>
      <c r="GQL74" s="278" t="n"/>
      <c r="GQM74" s="278" t="n"/>
      <c r="GQN74" s="278" t="n"/>
      <c r="GQO74" s="278" t="n"/>
      <c r="GQP74" s="278" t="n"/>
      <c r="GQQ74" s="278" t="n"/>
      <c r="GQR74" s="278" t="n"/>
      <c r="GQS74" s="278" t="n"/>
      <c r="GQT74" s="278" t="n"/>
      <c r="GQU74" s="278" t="n"/>
      <c r="GQV74" s="278" t="n"/>
      <c r="GQW74" s="278" t="n"/>
      <c r="GQX74" s="278" t="n"/>
      <c r="GQY74" s="278" t="n"/>
      <c r="GQZ74" s="278" t="n"/>
      <c r="GRA74" s="278" t="n"/>
      <c r="GRB74" s="278" t="n"/>
      <c r="GRC74" s="278" t="n"/>
      <c r="GRD74" s="278" t="n"/>
      <c r="GRE74" s="278" t="n"/>
      <c r="GRF74" s="278" t="n"/>
      <c r="GRG74" s="278" t="n"/>
      <c r="GRH74" s="278" t="n"/>
      <c r="GRI74" s="278" t="n"/>
      <c r="GRJ74" s="278" t="n"/>
      <c r="GRK74" s="278" t="n"/>
      <c r="GRL74" s="278" t="n"/>
      <c r="GRM74" s="278" t="n"/>
      <c r="GRN74" s="278" t="n"/>
      <c r="GRO74" s="278" t="n"/>
      <c r="GRP74" s="278" t="n"/>
      <c r="GRQ74" s="278" t="n"/>
      <c r="GRR74" s="278" t="n"/>
      <c r="GRS74" s="278" t="n"/>
      <c r="GRT74" s="278" t="n"/>
      <c r="GRU74" s="278" t="n"/>
      <c r="GRV74" s="278" t="n"/>
      <c r="GRW74" s="278" t="n"/>
      <c r="GRX74" s="278" t="n"/>
      <c r="GRY74" s="278" t="n"/>
      <c r="GRZ74" s="278" t="n"/>
      <c r="GSA74" s="278" t="n"/>
      <c r="GSB74" s="278" t="n"/>
      <c r="GSC74" s="278" t="n"/>
      <c r="GSD74" s="278" t="n"/>
      <c r="GSE74" s="278" t="n"/>
      <c r="GSF74" s="278" t="n"/>
      <c r="GSG74" s="278" t="n"/>
      <c r="GSH74" s="278" t="n"/>
      <c r="GSI74" s="278" t="n"/>
      <c r="GSJ74" s="278" t="n"/>
      <c r="GSK74" s="278" t="n"/>
      <c r="GSL74" s="278" t="n"/>
      <c r="GSM74" s="278" t="n"/>
      <c r="GSN74" s="278" t="n"/>
      <c r="GSO74" s="278" t="n"/>
      <c r="GSP74" s="278" t="n"/>
      <c r="GSQ74" s="278" t="n"/>
      <c r="GSR74" s="278" t="n"/>
      <c r="GSS74" s="278" t="n"/>
      <c r="GST74" s="278" t="n"/>
      <c r="GSU74" s="278" t="n"/>
      <c r="GSV74" s="278" t="n"/>
      <c r="GSW74" s="278" t="n"/>
      <c r="GSX74" s="278" t="n"/>
      <c r="GSY74" s="278" t="n"/>
      <c r="GSZ74" s="278" t="n"/>
      <c r="GTA74" s="278" t="n"/>
      <c r="GTB74" s="278" t="n"/>
      <c r="GTC74" s="278" t="n"/>
      <c r="GTD74" s="278" t="n"/>
      <c r="GTE74" s="278" t="n"/>
      <c r="GTF74" s="278" t="n"/>
      <c r="GTG74" s="278" t="n"/>
      <c r="GTH74" s="278" t="n"/>
      <c r="GTI74" s="278" t="n"/>
      <c r="GTJ74" s="278" t="n"/>
      <c r="GTK74" s="278" t="n"/>
      <c r="GTL74" s="278" t="n"/>
      <c r="GTM74" s="278" t="n"/>
      <c r="GTN74" s="278" t="n"/>
      <c r="GTO74" s="278" t="n"/>
      <c r="GTP74" s="278" t="n"/>
      <c r="GTQ74" s="278" t="n"/>
      <c r="GTR74" s="278" t="n"/>
      <c r="GTS74" s="278" t="n"/>
      <c r="GTT74" s="278" t="n"/>
      <c r="GTU74" s="278" t="n"/>
      <c r="GTV74" s="278" t="n"/>
      <c r="GTW74" s="278" t="n"/>
      <c r="GTX74" s="278" t="n"/>
      <c r="GTY74" s="278" t="n"/>
      <c r="GTZ74" s="278" t="n"/>
      <c r="GUA74" s="278" t="n"/>
      <c r="GUB74" s="278" t="n"/>
      <c r="GUC74" s="278" t="n"/>
      <c r="GUD74" s="278" t="n"/>
      <c r="GUE74" s="278" t="n"/>
      <c r="GUF74" s="278" t="n"/>
      <c r="GUG74" s="278" t="n"/>
      <c r="GUH74" s="278" t="n"/>
      <c r="GUI74" s="278" t="n"/>
      <c r="GUJ74" s="278" t="n"/>
      <c r="GUK74" s="278" t="n"/>
      <c r="GUL74" s="278" t="n"/>
      <c r="GUM74" s="278" t="n"/>
      <c r="GUN74" s="278" t="n"/>
      <c r="GUO74" s="278" t="n"/>
      <c r="GUP74" s="278" t="n"/>
      <c r="GUQ74" s="278" t="n"/>
      <c r="GUR74" s="278" t="n"/>
      <c r="GUS74" s="278" t="n"/>
      <c r="GUT74" s="278" t="n"/>
      <c r="GUU74" s="278" t="n"/>
      <c r="GUV74" s="278" t="n"/>
      <c r="GUW74" s="278" t="n"/>
      <c r="GUX74" s="278" t="n"/>
      <c r="GUY74" s="278" t="n"/>
      <c r="GUZ74" s="278" t="n"/>
      <c r="GVA74" s="278" t="n"/>
      <c r="GVB74" s="278" t="n"/>
      <c r="GVC74" s="278" t="n"/>
      <c r="GVD74" s="278" t="n"/>
      <c r="GVE74" s="278" t="n"/>
      <c r="GVF74" s="278" t="n"/>
      <c r="GVG74" s="278" t="n"/>
      <c r="GVH74" s="278" t="n"/>
      <c r="GVI74" s="278" t="n"/>
      <c r="GVJ74" s="278" t="n"/>
      <c r="GVK74" s="278" t="n"/>
      <c r="GVL74" s="278" t="n"/>
      <c r="GVM74" s="278" t="n"/>
      <c r="GVN74" s="278" t="n"/>
      <c r="GVO74" s="278" t="n"/>
      <c r="GVP74" s="278" t="n"/>
      <c r="GVQ74" s="278" t="n"/>
      <c r="GVR74" s="278" t="n"/>
      <c r="GVS74" s="278" t="n"/>
      <c r="GVT74" s="278" t="n"/>
      <c r="GVU74" s="278" t="n"/>
      <c r="GVV74" s="278" t="n"/>
      <c r="GVW74" s="278" t="n"/>
      <c r="GVX74" s="278" t="n"/>
      <c r="GVY74" s="278" t="n"/>
      <c r="GVZ74" s="278" t="n"/>
      <c r="GWA74" s="278" t="n"/>
      <c r="GWB74" s="278" t="n"/>
      <c r="GWC74" s="278" t="n"/>
      <c r="GWD74" s="278" t="n"/>
      <c r="GWE74" s="278" t="n"/>
      <c r="GWF74" s="278" t="n"/>
      <c r="GWG74" s="278" t="n"/>
      <c r="GWH74" s="278" t="n"/>
      <c r="GWI74" s="278" t="n"/>
      <c r="GWJ74" s="278" t="n"/>
      <c r="GWK74" s="278" t="n"/>
      <c r="GWL74" s="278" t="n"/>
      <c r="GWM74" s="278" t="n"/>
      <c r="GWN74" s="278" t="n"/>
      <c r="GWO74" s="278" t="n"/>
      <c r="GWP74" s="278" t="n"/>
      <c r="GWQ74" s="278" t="n"/>
      <c r="GWR74" s="278" t="n"/>
      <c r="GWS74" s="278" t="n"/>
      <c r="GWT74" s="278" t="n"/>
      <c r="GWU74" s="278" t="n"/>
      <c r="GWV74" s="278" t="n"/>
      <c r="GWW74" s="278" t="n"/>
      <c r="GWX74" s="278" t="n"/>
      <c r="GWY74" s="278" t="n"/>
      <c r="GWZ74" s="278" t="n"/>
      <c r="GXA74" s="278" t="n"/>
      <c r="GXB74" s="278" t="n"/>
      <c r="GXC74" s="278" t="n"/>
      <c r="GXD74" s="278" t="n"/>
      <c r="GXE74" s="278" t="n"/>
      <c r="GXF74" s="278" t="n"/>
      <c r="GXG74" s="278" t="n"/>
      <c r="GXH74" s="278" t="n"/>
      <c r="GXI74" s="278" t="n"/>
      <c r="GXJ74" s="278" t="n"/>
      <c r="GXK74" s="278" t="n"/>
      <c r="GXL74" s="278" t="n"/>
      <c r="GXM74" s="278" t="n"/>
      <c r="GXN74" s="278" t="n"/>
      <c r="GXO74" s="278" t="n"/>
      <c r="GXP74" s="278" t="n"/>
      <c r="GXQ74" s="278" t="n"/>
      <c r="GXR74" s="278" t="n"/>
      <c r="GXS74" s="278" t="n"/>
      <c r="GXT74" s="278" t="n"/>
      <c r="GXU74" s="278" t="n"/>
      <c r="GXV74" s="278" t="n"/>
      <c r="GXW74" s="278" t="n"/>
      <c r="GXX74" s="278" t="n"/>
      <c r="GXY74" s="278" t="n"/>
      <c r="GXZ74" s="278" t="n"/>
      <c r="GYA74" s="278" t="n"/>
      <c r="GYB74" s="278" t="n"/>
      <c r="GYC74" s="278" t="n"/>
      <c r="GYD74" s="278" t="n"/>
      <c r="GYE74" s="278" t="n"/>
      <c r="GYF74" s="278" t="n"/>
      <c r="GYG74" s="278" t="n"/>
      <c r="GYH74" s="278" t="n"/>
      <c r="GYI74" s="278" t="n"/>
      <c r="GYJ74" s="278" t="n"/>
      <c r="GYK74" s="278" t="n"/>
      <c r="GYL74" s="278" t="n"/>
      <c r="GYM74" s="278" t="n"/>
      <c r="GYN74" s="278" t="n"/>
      <c r="GYO74" s="278" t="n"/>
      <c r="GYP74" s="278" t="n"/>
      <c r="GYQ74" s="278" t="n"/>
      <c r="GYR74" s="278" t="n"/>
      <c r="GYS74" s="278" t="n"/>
      <c r="GYT74" s="278" t="n"/>
      <c r="GYU74" s="278" t="n"/>
      <c r="GYV74" s="278" t="n"/>
      <c r="GYW74" s="278" t="n"/>
      <c r="GYX74" s="278" t="n"/>
      <c r="GYY74" s="278" t="n"/>
      <c r="GYZ74" s="278" t="n"/>
      <c r="GZA74" s="278" t="n"/>
      <c r="GZB74" s="278" t="n"/>
      <c r="GZC74" s="278" t="n"/>
      <c r="GZD74" s="278" t="n"/>
      <c r="GZE74" s="278" t="n"/>
      <c r="GZF74" s="278" t="n"/>
      <c r="GZG74" s="278" t="n"/>
      <c r="GZH74" s="278" t="n"/>
      <c r="GZI74" s="278" t="n"/>
      <c r="GZJ74" s="278" t="n"/>
      <c r="GZK74" s="278" t="n"/>
      <c r="GZL74" s="278" t="n"/>
      <c r="GZM74" s="278" t="n"/>
      <c r="GZN74" s="278" t="n"/>
      <c r="GZO74" s="278" t="n"/>
      <c r="GZP74" s="278" t="n"/>
      <c r="GZQ74" s="278" t="n"/>
      <c r="GZR74" s="278" t="n"/>
      <c r="GZS74" s="278" t="n"/>
      <c r="GZT74" s="278" t="n"/>
      <c r="GZU74" s="278" t="n"/>
      <c r="GZV74" s="278" t="n"/>
      <c r="GZW74" s="278" t="n"/>
      <c r="GZX74" s="278" t="n"/>
      <c r="GZY74" s="278" t="n"/>
      <c r="GZZ74" s="278" t="n"/>
      <c r="HAA74" s="278" t="n"/>
      <c r="HAB74" s="278" t="n"/>
      <c r="HAC74" s="278" t="n"/>
      <c r="HAD74" s="278" t="n"/>
      <c r="HAE74" s="278" t="n"/>
      <c r="HAF74" s="278" t="n"/>
      <c r="HAG74" s="278" t="n"/>
      <c r="HAH74" s="278" t="n"/>
      <c r="HAI74" s="278" t="n"/>
      <c r="HAJ74" s="278" t="n"/>
      <c r="HAK74" s="278" t="n"/>
      <c r="HAL74" s="278" t="n"/>
      <c r="HAM74" s="278" t="n"/>
      <c r="HAN74" s="278" t="n"/>
      <c r="HAO74" s="278" t="n"/>
      <c r="HAP74" s="278" t="n"/>
      <c r="HAQ74" s="278" t="n"/>
      <c r="HAR74" s="278" t="n"/>
      <c r="HAS74" s="278" t="n"/>
      <c r="HAT74" s="278" t="n"/>
      <c r="HAU74" s="278" t="n"/>
      <c r="HAV74" s="278" t="n"/>
      <c r="HAW74" s="278" t="n"/>
      <c r="HAX74" s="278" t="n"/>
      <c r="HAY74" s="278" t="n"/>
      <c r="HAZ74" s="278" t="n"/>
      <c r="HBA74" s="278" t="n"/>
      <c r="HBB74" s="278" t="n"/>
      <c r="HBC74" s="278" t="n"/>
      <c r="HBD74" s="278" t="n"/>
      <c r="HBE74" s="278" t="n"/>
      <c r="HBF74" s="278" t="n"/>
      <c r="HBG74" s="278" t="n"/>
      <c r="HBH74" s="278" t="n"/>
      <c r="HBI74" s="278" t="n"/>
      <c r="HBJ74" s="278" t="n"/>
      <c r="HBK74" s="278" t="n"/>
      <c r="HBL74" s="278" t="n"/>
      <c r="HBM74" s="278" t="n"/>
      <c r="HBN74" s="278" t="n"/>
      <c r="HBO74" s="278" t="n"/>
      <c r="HBP74" s="278" t="n"/>
      <c r="HBQ74" s="278" t="n"/>
      <c r="HBR74" s="278" t="n"/>
      <c r="HBS74" s="278" t="n"/>
      <c r="HBT74" s="278" t="n"/>
      <c r="HBU74" s="278" t="n"/>
      <c r="HBV74" s="278" t="n"/>
      <c r="HBW74" s="278" t="n"/>
      <c r="HBX74" s="278" t="n"/>
      <c r="HBY74" s="278" t="n"/>
      <c r="HBZ74" s="278" t="n"/>
      <c r="HCA74" s="278" t="n"/>
      <c r="HCB74" s="278" t="n"/>
      <c r="HCC74" s="278" t="n"/>
      <c r="HCD74" s="278" t="n"/>
      <c r="HCE74" s="278" t="n"/>
      <c r="HCF74" s="278" t="n"/>
      <c r="HCG74" s="278" t="n"/>
      <c r="HCH74" s="278" t="n"/>
      <c r="HCI74" s="278" t="n"/>
      <c r="HCJ74" s="278" t="n"/>
      <c r="HCK74" s="278" t="n"/>
      <c r="HCL74" s="278" t="n"/>
      <c r="HCM74" s="278" t="n"/>
      <c r="HCN74" s="278" t="n"/>
      <c r="HCO74" s="278" t="n"/>
      <c r="HCP74" s="278" t="n"/>
      <c r="HCQ74" s="278" t="n"/>
      <c r="HCR74" s="278" t="n"/>
      <c r="HCS74" s="278" t="n"/>
      <c r="HCT74" s="278" t="n"/>
      <c r="HCU74" s="278" t="n"/>
      <c r="HCV74" s="278" t="n"/>
      <c r="HCW74" s="278" t="n"/>
      <c r="HCX74" s="278" t="n"/>
      <c r="HCY74" s="278" t="n"/>
      <c r="HCZ74" s="278" t="n"/>
      <c r="HDA74" s="278" t="n"/>
      <c r="HDB74" s="278" t="n"/>
      <c r="HDC74" s="278" t="n"/>
      <c r="HDD74" s="278" t="n"/>
      <c r="HDE74" s="278" t="n"/>
      <c r="HDF74" s="278" t="n"/>
      <c r="HDG74" s="278" t="n"/>
      <c r="HDH74" s="278" t="n"/>
      <c r="HDI74" s="278" t="n"/>
      <c r="HDJ74" s="278" t="n"/>
      <c r="HDK74" s="278" t="n"/>
      <c r="HDL74" s="278" t="n"/>
      <c r="HDM74" s="278" t="n"/>
      <c r="HDN74" s="278" t="n"/>
      <c r="HDO74" s="278" t="n"/>
      <c r="HDP74" s="278" t="n"/>
      <c r="HDQ74" s="278" t="n"/>
      <c r="HDR74" s="278" t="n"/>
      <c r="HDS74" s="278" t="n"/>
      <c r="HDT74" s="278" t="n"/>
      <c r="HDU74" s="278" t="n"/>
      <c r="HDV74" s="278" t="n"/>
      <c r="HDW74" s="278" t="n"/>
      <c r="HDX74" s="278" t="n"/>
      <c r="HDY74" s="278" t="n"/>
      <c r="HDZ74" s="278" t="n"/>
      <c r="HEA74" s="278" t="n"/>
      <c r="HEB74" s="278" t="n"/>
      <c r="HEC74" s="278" t="n"/>
      <c r="HED74" s="278" t="n"/>
      <c r="HEE74" s="278" t="n"/>
      <c r="HEF74" s="278" t="n"/>
      <c r="HEG74" s="278" t="n"/>
      <c r="HEH74" s="278" t="n"/>
      <c r="HEI74" s="278" t="n"/>
      <c r="HEJ74" s="278" t="n"/>
      <c r="HEK74" s="278" t="n"/>
      <c r="HEL74" s="278" t="n"/>
      <c r="HEM74" s="278" t="n"/>
      <c r="HEN74" s="278" t="n"/>
      <c r="HEO74" s="278" t="n"/>
      <c r="HEP74" s="278" t="n"/>
      <c r="HEQ74" s="278" t="n"/>
      <c r="HER74" s="278" t="n"/>
      <c r="HES74" s="278" t="n"/>
      <c r="HET74" s="278" t="n"/>
      <c r="HEU74" s="278" t="n"/>
      <c r="HEV74" s="278" t="n"/>
      <c r="HEW74" s="278" t="n"/>
      <c r="HEX74" s="278" t="n"/>
      <c r="HEY74" s="278" t="n"/>
      <c r="HEZ74" s="278" t="n"/>
      <c r="HFA74" s="278" t="n"/>
      <c r="HFB74" s="278" t="n"/>
      <c r="HFC74" s="278" t="n"/>
      <c r="HFD74" s="278" t="n"/>
      <c r="HFE74" s="278" t="n"/>
      <c r="HFF74" s="278" t="n"/>
      <c r="HFG74" s="278" t="n"/>
      <c r="HFH74" s="278" t="n"/>
      <c r="HFI74" s="278" t="n"/>
      <c r="HFJ74" s="278" t="n"/>
      <c r="HFK74" s="278" t="n"/>
      <c r="HFL74" s="278" t="n"/>
      <c r="HFM74" s="278" t="n"/>
      <c r="HFN74" s="278" t="n"/>
      <c r="HFO74" s="278" t="n"/>
      <c r="HFP74" s="278" t="n"/>
      <c r="HFQ74" s="278" t="n"/>
      <c r="HFR74" s="278" t="n"/>
      <c r="HFS74" s="278" t="n"/>
      <c r="HFT74" s="278" t="n"/>
      <c r="HFU74" s="278" t="n"/>
      <c r="HFV74" s="278" t="n"/>
      <c r="HFW74" s="278" t="n"/>
      <c r="HFX74" s="278" t="n"/>
      <c r="HFY74" s="278" t="n"/>
      <c r="HFZ74" s="278" t="n"/>
      <c r="HGA74" s="278" t="n"/>
      <c r="HGB74" s="278" t="n"/>
      <c r="HGC74" s="278" t="n"/>
      <c r="HGD74" s="278" t="n"/>
      <c r="HGE74" s="278" t="n"/>
      <c r="HGF74" s="278" t="n"/>
      <c r="HGG74" s="278" t="n"/>
      <c r="HGH74" s="278" t="n"/>
      <c r="HGI74" s="278" t="n"/>
      <c r="HGJ74" s="278" t="n"/>
      <c r="HGK74" s="278" t="n"/>
      <c r="HGL74" s="278" t="n"/>
      <c r="HGM74" s="278" t="n"/>
      <c r="HGN74" s="278" t="n"/>
      <c r="HGO74" s="278" t="n"/>
      <c r="HGP74" s="278" t="n"/>
      <c r="HGQ74" s="278" t="n"/>
      <c r="HGR74" s="278" t="n"/>
      <c r="HGS74" s="278" t="n"/>
      <c r="HGT74" s="278" t="n"/>
      <c r="HGU74" s="278" t="n"/>
      <c r="HGV74" s="278" t="n"/>
      <c r="HGW74" s="278" t="n"/>
      <c r="HGX74" s="278" t="n"/>
      <c r="HGY74" s="278" t="n"/>
      <c r="HGZ74" s="278" t="n"/>
      <c r="HHA74" s="278" t="n"/>
      <c r="HHB74" s="278" t="n"/>
      <c r="HHC74" s="278" t="n"/>
      <c r="HHD74" s="278" t="n"/>
      <c r="HHE74" s="278" t="n"/>
      <c r="HHF74" s="278" t="n"/>
      <c r="HHG74" s="278" t="n"/>
      <c r="HHH74" s="278" t="n"/>
      <c r="HHI74" s="278" t="n"/>
      <c r="HHJ74" s="278" t="n"/>
      <c r="HHK74" s="278" t="n"/>
      <c r="HHL74" s="278" t="n"/>
      <c r="HHM74" s="278" t="n"/>
      <c r="HHN74" s="278" t="n"/>
      <c r="HHO74" s="278" t="n"/>
      <c r="HHP74" s="278" t="n"/>
      <c r="HHQ74" s="278" t="n"/>
      <c r="HHR74" s="278" t="n"/>
      <c r="HHS74" s="278" t="n"/>
      <c r="HHT74" s="278" t="n"/>
      <c r="HHU74" s="278" t="n"/>
      <c r="HHV74" s="278" t="n"/>
      <c r="HHW74" s="278" t="n"/>
      <c r="HHX74" s="278" t="n"/>
      <c r="HHY74" s="278" t="n"/>
      <c r="HHZ74" s="278" t="n"/>
      <c r="HIA74" s="278" t="n"/>
      <c r="HIB74" s="278" t="n"/>
      <c r="HIC74" s="278" t="n"/>
      <c r="HID74" s="278" t="n"/>
      <c r="HIE74" s="278" t="n"/>
      <c r="HIF74" s="278" t="n"/>
      <c r="HIG74" s="278" t="n"/>
      <c r="HIH74" s="278" t="n"/>
      <c r="HII74" s="278" t="n"/>
      <c r="HIJ74" s="278" t="n"/>
      <c r="HIK74" s="278" t="n"/>
      <c r="HIL74" s="278" t="n"/>
      <c r="HIM74" s="278" t="n"/>
      <c r="HIN74" s="278" t="n"/>
      <c r="HIO74" s="278" t="n"/>
      <c r="HIP74" s="278" t="n"/>
      <c r="HIQ74" s="278" t="n"/>
      <c r="HIR74" s="278" t="n"/>
      <c r="HIS74" s="278" t="n"/>
      <c r="HIT74" s="278" t="n"/>
      <c r="HIU74" s="278" t="n"/>
      <c r="HIV74" s="278" t="n"/>
      <c r="HIW74" s="278" t="n"/>
      <c r="HIX74" s="278" t="n"/>
      <c r="HIY74" s="278" t="n"/>
      <c r="HIZ74" s="278" t="n"/>
      <c r="HJA74" s="278" t="n"/>
      <c r="HJB74" s="278" t="n"/>
      <c r="HJC74" s="278" t="n"/>
      <c r="HJD74" s="278" t="n"/>
      <c r="HJE74" s="278" t="n"/>
      <c r="HJF74" s="278" t="n"/>
      <c r="HJG74" s="278" t="n"/>
      <c r="HJH74" s="278" t="n"/>
      <c r="HJI74" s="278" t="n"/>
      <c r="HJJ74" s="278" t="n"/>
      <c r="HJK74" s="278" t="n"/>
      <c r="HJL74" s="278" t="n"/>
      <c r="HJM74" s="278" t="n"/>
      <c r="HJN74" s="278" t="n"/>
      <c r="HJO74" s="278" t="n"/>
      <c r="HJP74" s="278" t="n"/>
      <c r="HJQ74" s="278" t="n"/>
      <c r="HJR74" s="278" t="n"/>
      <c r="HJS74" s="278" t="n"/>
      <c r="HJT74" s="278" t="n"/>
      <c r="HJU74" s="278" t="n"/>
      <c r="HJV74" s="278" t="n"/>
      <c r="HJW74" s="278" t="n"/>
      <c r="HJX74" s="278" t="n"/>
      <c r="HJY74" s="278" t="n"/>
      <c r="HJZ74" s="278" t="n"/>
      <c r="HKA74" s="278" t="n"/>
      <c r="HKB74" s="278" t="n"/>
      <c r="HKC74" s="278" t="n"/>
      <c r="HKD74" s="278" t="n"/>
      <c r="HKE74" s="278" t="n"/>
      <c r="HKF74" s="278" t="n"/>
      <c r="HKG74" s="278" t="n"/>
      <c r="HKH74" s="278" t="n"/>
      <c r="HKI74" s="278" t="n"/>
      <c r="HKJ74" s="278" t="n"/>
      <c r="HKK74" s="278" t="n"/>
      <c r="HKL74" s="278" t="n"/>
      <c r="HKM74" s="278" t="n"/>
      <c r="HKN74" s="278" t="n"/>
      <c r="HKO74" s="278" t="n"/>
      <c r="HKP74" s="278" t="n"/>
      <c r="HKQ74" s="278" t="n"/>
      <c r="HKR74" s="278" t="n"/>
      <c r="HKS74" s="278" t="n"/>
      <c r="HKT74" s="278" t="n"/>
      <c r="HKU74" s="278" t="n"/>
      <c r="HKV74" s="278" t="n"/>
      <c r="HKW74" s="278" t="n"/>
      <c r="HKX74" s="278" t="n"/>
      <c r="HKY74" s="278" t="n"/>
      <c r="HKZ74" s="278" t="n"/>
      <c r="HLA74" s="278" t="n"/>
      <c r="HLB74" s="278" t="n"/>
      <c r="HLC74" s="278" t="n"/>
      <c r="HLD74" s="278" t="n"/>
      <c r="HLE74" s="278" t="n"/>
      <c r="HLF74" s="278" t="n"/>
      <c r="HLG74" s="278" t="n"/>
      <c r="HLH74" s="278" t="n"/>
      <c r="HLI74" s="278" t="n"/>
      <c r="HLJ74" s="278" t="n"/>
      <c r="HLK74" s="278" t="n"/>
      <c r="HLL74" s="278" t="n"/>
      <c r="HLM74" s="278" t="n"/>
      <c r="HLN74" s="278" t="n"/>
      <c r="HLO74" s="278" t="n"/>
      <c r="HLP74" s="278" t="n"/>
      <c r="HLQ74" s="278" t="n"/>
      <c r="HLR74" s="278" t="n"/>
      <c r="HLS74" s="278" t="n"/>
      <c r="HLT74" s="278" t="n"/>
      <c r="HLU74" s="278" t="n"/>
      <c r="HLV74" s="278" t="n"/>
      <c r="HLW74" s="278" t="n"/>
      <c r="HLX74" s="278" t="n"/>
      <c r="HLY74" s="278" t="n"/>
      <c r="HLZ74" s="278" t="n"/>
      <c r="HMA74" s="278" t="n"/>
      <c r="HMB74" s="278" t="n"/>
      <c r="HMC74" s="278" t="n"/>
      <c r="HMD74" s="278" t="n"/>
      <c r="HME74" s="278" t="n"/>
      <c r="HMF74" s="278" t="n"/>
      <c r="HMG74" s="278" t="n"/>
      <c r="HMH74" s="278" t="n"/>
      <c r="HMI74" s="278" t="n"/>
      <c r="HMJ74" s="278" t="n"/>
      <c r="HMK74" s="278" t="n"/>
      <c r="HML74" s="278" t="n"/>
      <c r="HMM74" s="278" t="n"/>
      <c r="HMN74" s="278" t="n"/>
      <c r="HMO74" s="278" t="n"/>
      <c r="HMP74" s="278" t="n"/>
      <c r="HMQ74" s="278" t="n"/>
      <c r="HMR74" s="278" t="n"/>
      <c r="HMS74" s="278" t="n"/>
      <c r="HMT74" s="278" t="n"/>
      <c r="HMU74" s="278" t="n"/>
      <c r="HMV74" s="278" t="n"/>
      <c r="HMW74" s="278" t="n"/>
      <c r="HMX74" s="278" t="n"/>
      <c r="HMY74" s="278" t="n"/>
      <c r="HMZ74" s="278" t="n"/>
      <c r="HNA74" s="278" t="n"/>
      <c r="HNB74" s="278" t="n"/>
      <c r="HNC74" s="278" t="n"/>
      <c r="HND74" s="278" t="n"/>
      <c r="HNE74" s="278" t="n"/>
      <c r="HNF74" s="278" t="n"/>
      <c r="HNG74" s="278" t="n"/>
      <c r="HNH74" s="278" t="n"/>
      <c r="HNI74" s="278" t="n"/>
      <c r="HNJ74" s="278" t="n"/>
      <c r="HNK74" s="278" t="n"/>
      <c r="HNL74" s="278" t="n"/>
      <c r="HNM74" s="278" t="n"/>
      <c r="HNN74" s="278" t="n"/>
      <c r="HNO74" s="278" t="n"/>
      <c r="HNP74" s="278" t="n"/>
      <c r="HNQ74" s="278" t="n"/>
      <c r="HNR74" s="278" t="n"/>
      <c r="HNS74" s="278" t="n"/>
      <c r="HNT74" s="278" t="n"/>
      <c r="HNU74" s="278" t="n"/>
      <c r="HNV74" s="278" t="n"/>
      <c r="HNW74" s="278" t="n"/>
      <c r="HNX74" s="278" t="n"/>
      <c r="HNY74" s="278" t="n"/>
      <c r="HNZ74" s="278" t="n"/>
      <c r="HOA74" s="278" t="n"/>
      <c r="HOB74" s="278" t="n"/>
      <c r="HOC74" s="278" t="n"/>
      <c r="HOD74" s="278" t="n"/>
      <c r="HOE74" s="278" t="n"/>
      <c r="HOF74" s="278" t="n"/>
      <c r="HOG74" s="278" t="n"/>
      <c r="HOH74" s="278" t="n"/>
      <c r="HOI74" s="278" t="n"/>
      <c r="HOJ74" s="278" t="n"/>
      <c r="HOK74" s="278" t="n"/>
      <c r="HOL74" s="278" t="n"/>
      <c r="HOM74" s="278" t="n"/>
      <c r="HON74" s="278" t="n"/>
      <c r="HOO74" s="278" t="n"/>
      <c r="HOP74" s="278" t="n"/>
      <c r="HOQ74" s="278" t="n"/>
      <c r="HOR74" s="278" t="n"/>
      <c r="HOS74" s="278" t="n"/>
      <c r="HOT74" s="278" t="n"/>
      <c r="HOU74" s="278" t="n"/>
      <c r="HOV74" s="278" t="n"/>
      <c r="HOW74" s="278" t="n"/>
      <c r="HOX74" s="278" t="n"/>
      <c r="HOY74" s="278" t="n"/>
      <c r="HOZ74" s="278" t="n"/>
      <c r="HPA74" s="278" t="n"/>
      <c r="HPB74" s="278" t="n"/>
      <c r="HPC74" s="278" t="n"/>
      <c r="HPD74" s="278" t="n"/>
      <c r="HPE74" s="278" t="n"/>
      <c r="HPF74" s="278" t="n"/>
      <c r="HPG74" s="278" t="n"/>
      <c r="HPH74" s="278" t="n"/>
      <c r="HPI74" s="278" t="n"/>
      <c r="HPJ74" s="278" t="n"/>
      <c r="HPK74" s="278" t="n"/>
      <c r="HPL74" s="278" t="n"/>
      <c r="HPM74" s="278" t="n"/>
      <c r="HPN74" s="278" t="n"/>
      <c r="HPO74" s="278" t="n"/>
      <c r="HPP74" s="278" t="n"/>
      <c r="HPQ74" s="278" t="n"/>
      <c r="HPR74" s="278" t="n"/>
      <c r="HPS74" s="278" t="n"/>
      <c r="HPT74" s="278" t="n"/>
      <c r="HPU74" s="278" t="n"/>
      <c r="HPV74" s="278" t="n"/>
      <c r="HPW74" s="278" t="n"/>
      <c r="HPX74" s="278" t="n"/>
      <c r="HPY74" s="278" t="n"/>
      <c r="HPZ74" s="278" t="n"/>
      <c r="HQA74" s="278" t="n"/>
      <c r="HQB74" s="278" t="n"/>
      <c r="HQC74" s="278" t="n"/>
      <c r="HQD74" s="278" t="n"/>
      <c r="HQE74" s="278" t="n"/>
      <c r="HQF74" s="278" t="n"/>
      <c r="HQG74" s="278" t="n"/>
      <c r="HQH74" s="278" t="n"/>
      <c r="HQI74" s="278" t="n"/>
      <c r="HQJ74" s="278" t="n"/>
      <c r="HQK74" s="278" t="n"/>
      <c r="HQL74" s="278" t="n"/>
      <c r="HQM74" s="278" t="n"/>
      <c r="HQN74" s="278" t="n"/>
      <c r="HQO74" s="278" t="n"/>
      <c r="HQP74" s="278" t="n"/>
      <c r="HQQ74" s="278" t="n"/>
      <c r="HQR74" s="278" t="n"/>
      <c r="HQS74" s="278" t="n"/>
      <c r="HQT74" s="278" t="n"/>
      <c r="HQU74" s="278" t="n"/>
      <c r="HQV74" s="278" t="n"/>
      <c r="HQW74" s="278" t="n"/>
      <c r="HQX74" s="278" t="n"/>
      <c r="HQY74" s="278" t="n"/>
      <c r="HQZ74" s="278" t="n"/>
      <c r="HRA74" s="278" t="n"/>
      <c r="HRB74" s="278" t="n"/>
      <c r="HRC74" s="278" t="n"/>
      <c r="HRD74" s="278" t="n"/>
      <c r="HRE74" s="278" t="n"/>
      <c r="HRF74" s="278" t="n"/>
      <c r="HRG74" s="278" t="n"/>
      <c r="HRH74" s="278" t="n"/>
      <c r="HRI74" s="278" t="n"/>
      <c r="HRJ74" s="278" t="n"/>
      <c r="HRK74" s="278" t="n"/>
      <c r="HRL74" s="278" t="n"/>
      <c r="HRM74" s="278" t="n"/>
      <c r="HRN74" s="278" t="n"/>
      <c r="HRO74" s="278" t="n"/>
      <c r="HRP74" s="278" t="n"/>
      <c r="HRQ74" s="278" t="n"/>
      <c r="HRR74" s="278" t="n"/>
      <c r="HRS74" s="278" t="n"/>
      <c r="HRT74" s="278" t="n"/>
      <c r="HRU74" s="278" t="n"/>
      <c r="HRV74" s="278" t="n"/>
      <c r="HRW74" s="278" t="n"/>
      <c r="HRX74" s="278" t="n"/>
      <c r="HRY74" s="278" t="n"/>
      <c r="HRZ74" s="278" t="n"/>
      <c r="HSA74" s="278" t="n"/>
      <c r="HSB74" s="278" t="n"/>
      <c r="HSC74" s="278" t="n"/>
      <c r="HSD74" s="278" t="n"/>
      <c r="HSE74" s="278" t="n"/>
      <c r="HSF74" s="278" t="n"/>
      <c r="HSG74" s="278" t="n"/>
      <c r="HSH74" s="278" t="n"/>
      <c r="HSI74" s="278" t="n"/>
      <c r="HSJ74" s="278" t="n"/>
      <c r="HSK74" s="278" t="n"/>
      <c r="HSL74" s="278" t="n"/>
      <c r="HSM74" s="278" t="n"/>
      <c r="HSN74" s="278" t="n"/>
      <c r="HSO74" s="278" t="n"/>
      <c r="HSP74" s="278" t="n"/>
      <c r="HSQ74" s="278" t="n"/>
      <c r="HSR74" s="278" t="n"/>
      <c r="HSS74" s="278" t="n"/>
      <c r="HST74" s="278" t="n"/>
      <c r="HSU74" s="278" t="n"/>
      <c r="HSV74" s="278" t="n"/>
      <c r="HSW74" s="278" t="n"/>
      <c r="HSX74" s="278" t="n"/>
      <c r="HSY74" s="278" t="n"/>
      <c r="HSZ74" s="278" t="n"/>
      <c r="HTA74" s="278" t="n"/>
      <c r="HTB74" s="278" t="n"/>
      <c r="HTC74" s="278" t="n"/>
      <c r="HTD74" s="278" t="n"/>
      <c r="HTE74" s="278" t="n"/>
      <c r="HTF74" s="278" t="n"/>
      <c r="HTG74" s="278" t="n"/>
      <c r="HTH74" s="278" t="n"/>
      <c r="HTI74" s="278" t="n"/>
      <c r="HTJ74" s="278" t="n"/>
      <c r="HTK74" s="278" t="n"/>
      <c r="HTL74" s="278" t="n"/>
      <c r="HTM74" s="278" t="n"/>
      <c r="HTN74" s="278" t="n"/>
      <c r="HTO74" s="278" t="n"/>
      <c r="HTP74" s="278" t="n"/>
      <c r="HTQ74" s="278" t="n"/>
      <c r="HTR74" s="278" t="n"/>
      <c r="HTS74" s="278" t="n"/>
      <c r="HTT74" s="278" t="n"/>
      <c r="HTU74" s="278" t="n"/>
      <c r="HTV74" s="278" t="n"/>
      <c r="HTW74" s="278" t="n"/>
      <c r="HTX74" s="278" t="n"/>
      <c r="HTY74" s="278" t="n"/>
      <c r="HTZ74" s="278" t="n"/>
      <c r="HUA74" s="278" t="n"/>
      <c r="HUB74" s="278" t="n"/>
      <c r="HUC74" s="278" t="n"/>
      <c r="HUD74" s="278" t="n"/>
      <c r="HUE74" s="278" t="n"/>
      <c r="HUF74" s="278" t="n"/>
      <c r="HUG74" s="278" t="n"/>
      <c r="HUH74" s="278" t="n"/>
      <c r="HUI74" s="278" t="n"/>
      <c r="HUJ74" s="278" t="n"/>
      <c r="HUK74" s="278" t="n"/>
      <c r="HUL74" s="278" t="n"/>
      <c r="HUM74" s="278" t="n"/>
      <c r="HUN74" s="278" t="n"/>
      <c r="HUO74" s="278" t="n"/>
      <c r="HUP74" s="278" t="n"/>
      <c r="HUQ74" s="278" t="n"/>
      <c r="HUR74" s="278" t="n"/>
      <c r="HUS74" s="278" t="n"/>
      <c r="HUT74" s="278" t="n"/>
      <c r="HUU74" s="278" t="n"/>
      <c r="HUV74" s="278" t="n"/>
      <c r="HUW74" s="278" t="n"/>
      <c r="HUX74" s="278" t="n"/>
      <c r="HUY74" s="278" t="n"/>
      <c r="HUZ74" s="278" t="n"/>
      <c r="HVA74" s="278" t="n"/>
      <c r="HVB74" s="278" t="n"/>
      <c r="HVC74" s="278" t="n"/>
      <c r="HVD74" s="278" t="n"/>
      <c r="HVE74" s="278" t="n"/>
      <c r="HVF74" s="278" t="n"/>
      <c r="HVG74" s="278" t="n"/>
      <c r="HVH74" s="278" t="n"/>
      <c r="HVI74" s="278" t="n"/>
      <c r="HVJ74" s="278" t="n"/>
      <c r="HVK74" s="278" t="n"/>
      <c r="HVL74" s="278" t="n"/>
      <c r="HVM74" s="278" t="n"/>
      <c r="HVN74" s="278" t="n"/>
      <c r="HVO74" s="278" t="n"/>
      <c r="HVP74" s="278" t="n"/>
      <c r="HVQ74" s="278" t="n"/>
      <c r="HVR74" s="278" t="n"/>
      <c r="HVS74" s="278" t="n"/>
      <c r="HVT74" s="278" t="n"/>
      <c r="HVU74" s="278" t="n"/>
      <c r="HVV74" s="278" t="n"/>
      <c r="HVW74" s="278" t="n"/>
      <c r="HVX74" s="278" t="n"/>
      <c r="HVY74" s="278" t="n"/>
      <c r="HVZ74" s="278" t="n"/>
      <c r="HWA74" s="278" t="n"/>
      <c r="HWB74" s="278" t="n"/>
      <c r="HWC74" s="278" t="n"/>
      <c r="HWD74" s="278" t="n"/>
      <c r="HWE74" s="278" t="n"/>
      <c r="HWF74" s="278" t="n"/>
      <c r="HWG74" s="278" t="n"/>
      <c r="HWH74" s="278" t="n"/>
      <c r="HWI74" s="278" t="n"/>
      <c r="HWJ74" s="278" t="n"/>
      <c r="HWK74" s="278" t="n"/>
      <c r="HWL74" s="278" t="n"/>
      <c r="HWM74" s="278" t="n"/>
      <c r="HWN74" s="278" t="n"/>
      <c r="HWO74" s="278" t="n"/>
      <c r="HWP74" s="278" t="n"/>
      <c r="HWQ74" s="278" t="n"/>
      <c r="HWR74" s="278" t="n"/>
      <c r="HWS74" s="278" t="n"/>
      <c r="HWT74" s="278" t="n"/>
      <c r="HWU74" s="278" t="n"/>
      <c r="HWV74" s="278" t="n"/>
      <c r="HWW74" s="278" t="n"/>
      <c r="HWX74" s="278" t="n"/>
      <c r="HWY74" s="278" t="n"/>
      <c r="HWZ74" s="278" t="n"/>
      <c r="HXA74" s="278" t="n"/>
      <c r="HXB74" s="278" t="n"/>
      <c r="HXC74" s="278" t="n"/>
      <c r="HXD74" s="278" t="n"/>
      <c r="HXE74" s="278" t="n"/>
      <c r="HXF74" s="278" t="n"/>
      <c r="HXG74" s="278" t="n"/>
      <c r="HXH74" s="278" t="n"/>
      <c r="HXI74" s="278" t="n"/>
      <c r="HXJ74" s="278" t="n"/>
      <c r="HXK74" s="278" t="n"/>
      <c r="HXL74" s="278" t="n"/>
      <c r="HXM74" s="278" t="n"/>
      <c r="HXN74" s="278" t="n"/>
      <c r="HXO74" s="278" t="n"/>
      <c r="HXP74" s="278" t="n"/>
      <c r="HXQ74" s="278" t="n"/>
      <c r="HXR74" s="278" t="n"/>
      <c r="HXS74" s="278" t="n"/>
      <c r="HXT74" s="278" t="n"/>
      <c r="HXU74" s="278" t="n"/>
      <c r="HXV74" s="278" t="n"/>
      <c r="HXW74" s="278" t="n"/>
      <c r="HXX74" s="278" t="n"/>
      <c r="HXY74" s="278" t="n"/>
      <c r="HXZ74" s="278" t="n"/>
      <c r="HYA74" s="278" t="n"/>
      <c r="HYB74" s="278" t="n"/>
      <c r="HYC74" s="278" t="n"/>
      <c r="HYD74" s="278" t="n"/>
      <c r="HYE74" s="278" t="n"/>
      <c r="HYF74" s="278" t="n"/>
      <c r="HYG74" s="278" t="n"/>
      <c r="HYH74" s="278" t="n"/>
      <c r="HYI74" s="278" t="n"/>
      <c r="HYJ74" s="278" t="n"/>
      <c r="HYK74" s="278" t="n"/>
      <c r="HYL74" s="278" t="n"/>
      <c r="HYM74" s="278" t="n"/>
      <c r="HYN74" s="278" t="n"/>
      <c r="HYO74" s="278" t="n"/>
      <c r="HYP74" s="278" t="n"/>
      <c r="HYQ74" s="278" t="n"/>
      <c r="HYR74" s="278" t="n"/>
      <c r="HYS74" s="278" t="n"/>
      <c r="HYT74" s="278" t="n"/>
      <c r="HYU74" s="278" t="n"/>
      <c r="HYV74" s="278" t="n"/>
      <c r="HYW74" s="278" t="n"/>
      <c r="HYX74" s="278" t="n"/>
      <c r="HYY74" s="278" t="n"/>
      <c r="HYZ74" s="278" t="n"/>
      <c r="HZA74" s="278" t="n"/>
      <c r="HZB74" s="278" t="n"/>
      <c r="HZC74" s="278" t="n"/>
      <c r="HZD74" s="278" t="n"/>
      <c r="HZE74" s="278" t="n"/>
      <c r="HZF74" s="278" t="n"/>
      <c r="HZG74" s="278" t="n"/>
      <c r="HZH74" s="278" t="n"/>
      <c r="HZI74" s="278" t="n"/>
      <c r="HZJ74" s="278" t="n"/>
      <c r="HZK74" s="278" t="n"/>
      <c r="HZL74" s="278" t="n"/>
      <c r="HZM74" s="278" t="n"/>
      <c r="HZN74" s="278" t="n"/>
      <c r="HZO74" s="278" t="n"/>
      <c r="HZP74" s="278" t="n"/>
      <c r="HZQ74" s="278" t="n"/>
      <c r="HZR74" s="278" t="n"/>
      <c r="HZS74" s="278" t="n"/>
      <c r="HZT74" s="278" t="n"/>
      <c r="HZU74" s="278" t="n"/>
      <c r="HZV74" s="278" t="n"/>
      <c r="HZW74" s="278" t="n"/>
      <c r="HZX74" s="278" t="n"/>
      <c r="HZY74" s="278" t="n"/>
      <c r="HZZ74" s="278" t="n"/>
      <c r="IAA74" s="278" t="n"/>
      <c r="IAB74" s="278" t="n"/>
      <c r="IAC74" s="278" t="n"/>
      <c r="IAD74" s="278" t="n"/>
      <c r="IAE74" s="278" t="n"/>
      <c r="IAF74" s="278" t="n"/>
      <c r="IAG74" s="278" t="n"/>
      <c r="IAH74" s="278" t="n"/>
      <c r="IAI74" s="278" t="n"/>
      <c r="IAJ74" s="278" t="n"/>
      <c r="IAK74" s="278" t="n"/>
      <c r="IAL74" s="278" t="n"/>
      <c r="IAM74" s="278" t="n"/>
      <c r="IAN74" s="278" t="n"/>
      <c r="IAO74" s="278" t="n"/>
      <c r="IAP74" s="278" t="n"/>
      <c r="IAQ74" s="278" t="n"/>
      <c r="IAR74" s="278" t="n"/>
      <c r="IAS74" s="278" t="n"/>
      <c r="IAT74" s="278" t="n"/>
      <c r="IAU74" s="278" t="n"/>
      <c r="IAV74" s="278" t="n"/>
      <c r="IAW74" s="278" t="n"/>
      <c r="IAX74" s="278" t="n"/>
      <c r="IAY74" s="278" t="n"/>
      <c r="IAZ74" s="278" t="n"/>
      <c r="IBA74" s="278" t="n"/>
      <c r="IBB74" s="278" t="n"/>
      <c r="IBC74" s="278" t="n"/>
      <c r="IBD74" s="278" t="n"/>
      <c r="IBE74" s="278" t="n"/>
      <c r="IBF74" s="278" t="n"/>
      <c r="IBG74" s="278" t="n"/>
      <c r="IBH74" s="278" t="n"/>
      <c r="IBI74" s="278" t="n"/>
      <c r="IBJ74" s="278" t="n"/>
      <c r="IBK74" s="278" t="n"/>
      <c r="IBL74" s="278" t="n"/>
      <c r="IBM74" s="278" t="n"/>
      <c r="IBN74" s="278" t="n"/>
      <c r="IBO74" s="278" t="n"/>
      <c r="IBP74" s="278" t="n"/>
      <c r="IBQ74" s="278" t="n"/>
      <c r="IBR74" s="278" t="n"/>
      <c r="IBS74" s="278" t="n"/>
      <c r="IBT74" s="278" t="n"/>
      <c r="IBU74" s="278" t="n"/>
      <c r="IBV74" s="278" t="n"/>
      <c r="IBW74" s="278" t="n"/>
      <c r="IBX74" s="278" t="n"/>
      <c r="IBY74" s="278" t="n"/>
      <c r="IBZ74" s="278" t="n"/>
      <c r="ICA74" s="278" t="n"/>
      <c r="ICB74" s="278" t="n"/>
      <c r="ICC74" s="278" t="n"/>
      <c r="ICD74" s="278" t="n"/>
      <c r="ICE74" s="278" t="n"/>
      <c r="ICF74" s="278" t="n"/>
      <c r="ICG74" s="278" t="n"/>
      <c r="ICH74" s="278" t="n"/>
      <c r="ICI74" s="278" t="n"/>
      <c r="ICJ74" s="278" t="n"/>
      <c r="ICK74" s="278" t="n"/>
      <c r="ICL74" s="278" t="n"/>
      <c r="ICM74" s="278" t="n"/>
      <c r="ICN74" s="278" t="n"/>
      <c r="ICO74" s="278" t="n"/>
      <c r="ICP74" s="278" t="n"/>
      <c r="ICQ74" s="278" t="n"/>
      <c r="ICR74" s="278" t="n"/>
      <c r="ICS74" s="278" t="n"/>
      <c r="ICT74" s="278" t="n"/>
      <c r="ICU74" s="278" t="n"/>
      <c r="ICV74" s="278" t="n"/>
      <c r="ICW74" s="278" t="n"/>
      <c r="ICX74" s="278" t="n"/>
      <c r="ICY74" s="278" t="n"/>
      <c r="ICZ74" s="278" t="n"/>
      <c r="IDA74" s="278" t="n"/>
      <c r="IDB74" s="278" t="n"/>
      <c r="IDC74" s="278" t="n"/>
      <c r="IDD74" s="278" t="n"/>
      <c r="IDE74" s="278" t="n"/>
      <c r="IDF74" s="278" t="n"/>
      <c r="IDG74" s="278" t="n"/>
      <c r="IDH74" s="278" t="n"/>
      <c r="IDI74" s="278" t="n"/>
      <c r="IDJ74" s="278" t="n"/>
      <c r="IDK74" s="278" t="n"/>
      <c r="IDL74" s="278" t="n"/>
      <c r="IDM74" s="278" t="n"/>
      <c r="IDN74" s="278" t="n"/>
      <c r="IDO74" s="278" t="n"/>
      <c r="IDP74" s="278" t="n"/>
      <c r="IDQ74" s="278" t="n"/>
      <c r="IDR74" s="278" t="n"/>
      <c r="IDS74" s="278" t="n"/>
      <c r="IDT74" s="278" t="n"/>
      <c r="IDU74" s="278" t="n"/>
      <c r="IDV74" s="278" t="n"/>
      <c r="IDW74" s="278" t="n"/>
      <c r="IDX74" s="278" t="n"/>
      <c r="IDY74" s="278" t="n"/>
      <c r="IDZ74" s="278" t="n"/>
      <c r="IEA74" s="278" t="n"/>
      <c r="IEB74" s="278" t="n"/>
      <c r="IEC74" s="278" t="n"/>
      <c r="IED74" s="278" t="n"/>
      <c r="IEE74" s="278" t="n"/>
      <c r="IEF74" s="278" t="n"/>
      <c r="IEG74" s="278" t="n"/>
      <c r="IEH74" s="278" t="n"/>
      <c r="IEI74" s="278" t="n"/>
      <c r="IEJ74" s="278" t="n"/>
      <c r="IEK74" s="278" t="n"/>
      <c r="IEL74" s="278" t="n"/>
      <c r="IEM74" s="278" t="n"/>
      <c r="IEN74" s="278" t="n"/>
      <c r="IEO74" s="278" t="n"/>
      <c r="IEP74" s="278" t="n"/>
      <c r="IEQ74" s="278" t="n"/>
      <c r="IER74" s="278" t="n"/>
      <c r="IES74" s="278" t="n"/>
      <c r="IET74" s="278" t="n"/>
      <c r="IEU74" s="278" t="n"/>
      <c r="IEV74" s="278" t="n"/>
      <c r="IEW74" s="278" t="n"/>
      <c r="IEX74" s="278" t="n"/>
      <c r="IEY74" s="278" t="n"/>
      <c r="IEZ74" s="278" t="n"/>
      <c r="IFA74" s="278" t="n"/>
      <c r="IFB74" s="278" t="n"/>
      <c r="IFC74" s="278" t="n"/>
      <c r="IFD74" s="278" t="n"/>
      <c r="IFE74" s="278" t="n"/>
      <c r="IFF74" s="278" t="n"/>
      <c r="IFG74" s="278" t="n"/>
      <c r="IFH74" s="278" t="n"/>
      <c r="IFI74" s="278" t="n"/>
      <c r="IFJ74" s="278" t="n"/>
      <c r="IFK74" s="278" t="n"/>
      <c r="IFL74" s="278" t="n"/>
      <c r="IFM74" s="278" t="n"/>
      <c r="IFN74" s="278" t="n"/>
      <c r="IFO74" s="278" t="n"/>
      <c r="IFP74" s="278" t="n"/>
      <c r="IFQ74" s="278" t="n"/>
      <c r="IFR74" s="278" t="n"/>
      <c r="IFS74" s="278" t="n"/>
      <c r="IFT74" s="278" t="n"/>
      <c r="IFU74" s="278" t="n"/>
      <c r="IFV74" s="278" t="n"/>
      <c r="IFW74" s="278" t="n"/>
      <c r="IFX74" s="278" t="n"/>
      <c r="IFY74" s="278" t="n"/>
      <c r="IFZ74" s="278" t="n"/>
      <c r="IGA74" s="278" t="n"/>
      <c r="IGB74" s="278" t="n"/>
      <c r="IGC74" s="278" t="n"/>
      <c r="IGD74" s="278" t="n"/>
      <c r="IGE74" s="278" t="n"/>
      <c r="IGF74" s="278" t="n"/>
      <c r="IGG74" s="278" t="n"/>
      <c r="IGH74" s="278" t="n"/>
      <c r="IGI74" s="278" t="n"/>
      <c r="IGJ74" s="278" t="n"/>
      <c r="IGK74" s="278" t="n"/>
      <c r="IGL74" s="278" t="n"/>
      <c r="IGM74" s="278" t="n"/>
      <c r="IGN74" s="278" t="n"/>
      <c r="IGO74" s="278" t="n"/>
      <c r="IGP74" s="278" t="n"/>
      <c r="IGQ74" s="278" t="n"/>
      <c r="IGR74" s="278" t="n"/>
      <c r="IGS74" s="278" t="n"/>
      <c r="IGT74" s="278" t="n"/>
      <c r="IGU74" s="278" t="n"/>
      <c r="IGV74" s="278" t="n"/>
      <c r="IGW74" s="278" t="n"/>
      <c r="IGX74" s="278" t="n"/>
      <c r="IGY74" s="278" t="n"/>
      <c r="IGZ74" s="278" t="n"/>
      <c r="IHA74" s="278" t="n"/>
      <c r="IHB74" s="278" t="n"/>
      <c r="IHC74" s="278" t="n"/>
      <c r="IHD74" s="278" t="n"/>
      <c r="IHE74" s="278" t="n"/>
      <c r="IHF74" s="278" t="n"/>
      <c r="IHG74" s="278" t="n"/>
      <c r="IHH74" s="278" t="n"/>
      <c r="IHI74" s="278" t="n"/>
      <c r="IHJ74" s="278" t="n"/>
      <c r="IHK74" s="278" t="n"/>
      <c r="IHL74" s="278" t="n"/>
      <c r="IHM74" s="278" t="n"/>
      <c r="IHN74" s="278" t="n"/>
      <c r="IHO74" s="278" t="n"/>
      <c r="IHP74" s="278" t="n"/>
      <c r="IHQ74" s="278" t="n"/>
      <c r="IHR74" s="278" t="n"/>
      <c r="IHS74" s="278" t="n"/>
      <c r="IHT74" s="278" t="n"/>
      <c r="IHU74" s="278" t="n"/>
      <c r="IHV74" s="278" t="n"/>
      <c r="IHW74" s="278" t="n"/>
      <c r="IHX74" s="278" t="n"/>
      <c r="IHY74" s="278" t="n"/>
      <c r="IHZ74" s="278" t="n"/>
      <c r="IIA74" s="278" t="n"/>
      <c r="IIB74" s="278" t="n"/>
      <c r="IIC74" s="278" t="n"/>
      <c r="IID74" s="278" t="n"/>
      <c r="IIE74" s="278" t="n"/>
      <c r="IIF74" s="278" t="n"/>
      <c r="IIG74" s="278" t="n"/>
      <c r="IIH74" s="278" t="n"/>
      <c r="III74" s="278" t="n"/>
      <c r="IIJ74" s="278" t="n"/>
      <c r="IIK74" s="278" t="n"/>
      <c r="IIL74" s="278" t="n"/>
      <c r="IIM74" s="278" t="n"/>
      <c r="IIN74" s="278" t="n"/>
      <c r="IIO74" s="278" t="n"/>
      <c r="IIP74" s="278" t="n"/>
      <c r="IIQ74" s="278" t="n"/>
      <c r="IIR74" s="278" t="n"/>
      <c r="IIS74" s="278" t="n"/>
      <c r="IIT74" s="278" t="n"/>
      <c r="IIU74" s="278" t="n"/>
      <c r="IIV74" s="278" t="n"/>
      <c r="IIW74" s="278" t="n"/>
      <c r="IIX74" s="278" t="n"/>
      <c r="IIY74" s="278" t="n"/>
      <c r="IIZ74" s="278" t="n"/>
      <c r="IJA74" s="278" t="n"/>
      <c r="IJB74" s="278" t="n"/>
      <c r="IJC74" s="278" t="n"/>
      <c r="IJD74" s="278" t="n"/>
      <c r="IJE74" s="278" t="n"/>
      <c r="IJF74" s="278" t="n"/>
      <c r="IJG74" s="278" t="n"/>
      <c r="IJH74" s="278" t="n"/>
      <c r="IJI74" s="278" t="n"/>
      <c r="IJJ74" s="278" t="n"/>
      <c r="IJK74" s="278" t="n"/>
      <c r="IJL74" s="278" t="n"/>
      <c r="IJM74" s="278" t="n"/>
      <c r="IJN74" s="278" t="n"/>
      <c r="IJO74" s="278" t="n"/>
      <c r="IJP74" s="278" t="n"/>
      <c r="IJQ74" s="278" t="n"/>
      <c r="IJR74" s="278" t="n"/>
      <c r="IJS74" s="278" t="n"/>
      <c r="IJT74" s="278" t="n"/>
      <c r="IJU74" s="278" t="n"/>
      <c r="IJV74" s="278" t="n"/>
      <c r="IJW74" s="278" t="n"/>
      <c r="IJX74" s="278" t="n"/>
      <c r="IJY74" s="278" t="n"/>
      <c r="IJZ74" s="278" t="n"/>
      <c r="IKA74" s="278" t="n"/>
      <c r="IKB74" s="278" t="n"/>
      <c r="IKC74" s="278" t="n"/>
      <c r="IKD74" s="278" t="n"/>
      <c r="IKE74" s="278" t="n"/>
      <c r="IKF74" s="278" t="n"/>
      <c r="IKG74" s="278" t="n"/>
      <c r="IKH74" s="278" t="n"/>
      <c r="IKI74" s="278" t="n"/>
      <c r="IKJ74" s="278" t="n"/>
      <c r="IKK74" s="278" t="n"/>
      <c r="IKL74" s="278" t="n"/>
      <c r="IKM74" s="278" t="n"/>
      <c r="IKN74" s="278" t="n"/>
      <c r="IKO74" s="278" t="n"/>
      <c r="IKP74" s="278" t="n"/>
      <c r="IKQ74" s="278" t="n"/>
      <c r="IKR74" s="278" t="n"/>
      <c r="IKS74" s="278" t="n"/>
      <c r="IKT74" s="278" t="n"/>
      <c r="IKU74" s="278" t="n"/>
      <c r="IKV74" s="278" t="n"/>
      <c r="IKW74" s="278" t="n"/>
      <c r="IKX74" s="278" t="n"/>
      <c r="IKY74" s="278" t="n"/>
      <c r="IKZ74" s="278" t="n"/>
      <c r="ILA74" s="278" t="n"/>
      <c r="ILB74" s="278" t="n"/>
      <c r="ILC74" s="278" t="n"/>
      <c r="ILD74" s="278" t="n"/>
      <c r="ILE74" s="278" t="n"/>
      <c r="ILF74" s="278" t="n"/>
      <c r="ILG74" s="278" t="n"/>
      <c r="ILH74" s="278" t="n"/>
      <c r="ILI74" s="278" t="n"/>
      <c r="ILJ74" s="278" t="n"/>
      <c r="ILK74" s="278" t="n"/>
      <c r="ILL74" s="278" t="n"/>
      <c r="ILM74" s="278" t="n"/>
      <c r="ILN74" s="278" t="n"/>
      <c r="ILO74" s="278" t="n"/>
      <c r="ILP74" s="278" t="n"/>
      <c r="ILQ74" s="278" t="n"/>
      <c r="ILR74" s="278" t="n"/>
      <c r="ILS74" s="278" t="n"/>
      <c r="ILT74" s="278" t="n"/>
      <c r="ILU74" s="278" t="n"/>
      <c r="ILV74" s="278" t="n"/>
      <c r="ILW74" s="278" t="n"/>
      <c r="ILX74" s="278" t="n"/>
      <c r="ILY74" s="278" t="n"/>
      <c r="ILZ74" s="278" t="n"/>
      <c r="IMA74" s="278" t="n"/>
      <c r="IMB74" s="278" t="n"/>
      <c r="IMC74" s="278" t="n"/>
      <c r="IMD74" s="278" t="n"/>
      <c r="IME74" s="278" t="n"/>
      <c r="IMF74" s="278" t="n"/>
      <c r="IMG74" s="278" t="n"/>
      <c r="IMH74" s="278" t="n"/>
      <c r="IMI74" s="278" t="n"/>
      <c r="IMJ74" s="278" t="n"/>
      <c r="IMK74" s="278" t="n"/>
      <c r="IML74" s="278" t="n"/>
      <c r="IMM74" s="278" t="n"/>
      <c r="IMN74" s="278" t="n"/>
      <c r="IMO74" s="278" t="n"/>
      <c r="IMP74" s="278" t="n"/>
      <c r="IMQ74" s="278" t="n"/>
      <c r="IMR74" s="278" t="n"/>
      <c r="IMS74" s="278" t="n"/>
      <c r="IMT74" s="278" t="n"/>
      <c r="IMU74" s="278" t="n"/>
      <c r="IMV74" s="278" t="n"/>
      <c r="IMW74" s="278" t="n"/>
      <c r="IMX74" s="278" t="n"/>
      <c r="IMY74" s="278" t="n"/>
      <c r="IMZ74" s="278" t="n"/>
      <c r="INA74" s="278" t="n"/>
      <c r="INB74" s="278" t="n"/>
      <c r="INC74" s="278" t="n"/>
      <c r="IND74" s="278" t="n"/>
      <c r="INE74" s="278" t="n"/>
      <c r="INF74" s="278" t="n"/>
      <c r="ING74" s="278" t="n"/>
      <c r="INH74" s="278" t="n"/>
      <c r="INI74" s="278" t="n"/>
      <c r="INJ74" s="278" t="n"/>
      <c r="INK74" s="278" t="n"/>
      <c r="INL74" s="278" t="n"/>
      <c r="INM74" s="278" t="n"/>
      <c r="INN74" s="278" t="n"/>
      <c r="INO74" s="278" t="n"/>
      <c r="INP74" s="278" t="n"/>
      <c r="INQ74" s="278" t="n"/>
      <c r="INR74" s="278" t="n"/>
      <c r="INS74" s="278" t="n"/>
      <c r="INT74" s="278" t="n"/>
      <c r="INU74" s="278" t="n"/>
      <c r="INV74" s="278" t="n"/>
      <c r="INW74" s="278" t="n"/>
      <c r="INX74" s="278" t="n"/>
      <c r="INY74" s="278" t="n"/>
      <c r="INZ74" s="278" t="n"/>
      <c r="IOA74" s="278" t="n"/>
      <c r="IOB74" s="278" t="n"/>
      <c r="IOC74" s="278" t="n"/>
      <c r="IOD74" s="278" t="n"/>
      <c r="IOE74" s="278" t="n"/>
      <c r="IOF74" s="278" t="n"/>
      <c r="IOG74" s="278" t="n"/>
      <c r="IOH74" s="278" t="n"/>
      <c r="IOI74" s="278" t="n"/>
      <c r="IOJ74" s="278" t="n"/>
      <c r="IOK74" s="278" t="n"/>
      <c r="IOL74" s="278" t="n"/>
      <c r="IOM74" s="278" t="n"/>
      <c r="ION74" s="278" t="n"/>
      <c r="IOO74" s="278" t="n"/>
      <c r="IOP74" s="278" t="n"/>
      <c r="IOQ74" s="278" t="n"/>
      <c r="IOR74" s="278" t="n"/>
      <c r="IOS74" s="278" t="n"/>
      <c r="IOT74" s="278" t="n"/>
      <c r="IOU74" s="278" t="n"/>
      <c r="IOV74" s="278" t="n"/>
      <c r="IOW74" s="278" t="n"/>
      <c r="IOX74" s="278" t="n"/>
      <c r="IOY74" s="278" t="n"/>
      <c r="IOZ74" s="278" t="n"/>
      <c r="IPA74" s="278" t="n"/>
      <c r="IPB74" s="278" t="n"/>
      <c r="IPC74" s="278" t="n"/>
      <c r="IPD74" s="278" t="n"/>
      <c r="IPE74" s="278" t="n"/>
      <c r="IPF74" s="278" t="n"/>
      <c r="IPG74" s="278" t="n"/>
      <c r="IPH74" s="278" t="n"/>
      <c r="IPI74" s="278" t="n"/>
      <c r="IPJ74" s="278" t="n"/>
      <c r="IPK74" s="278" t="n"/>
      <c r="IPL74" s="278" t="n"/>
      <c r="IPM74" s="278" t="n"/>
      <c r="IPN74" s="278" t="n"/>
      <c r="IPO74" s="278" t="n"/>
      <c r="IPP74" s="278" t="n"/>
      <c r="IPQ74" s="278" t="n"/>
      <c r="IPR74" s="278" t="n"/>
      <c r="IPS74" s="278" t="n"/>
      <c r="IPT74" s="278" t="n"/>
      <c r="IPU74" s="278" t="n"/>
      <c r="IPV74" s="278" t="n"/>
      <c r="IPW74" s="278" t="n"/>
      <c r="IPX74" s="278" t="n"/>
      <c r="IPY74" s="278" t="n"/>
      <c r="IPZ74" s="278" t="n"/>
      <c r="IQA74" s="278" t="n"/>
      <c r="IQB74" s="278" t="n"/>
      <c r="IQC74" s="278" t="n"/>
      <c r="IQD74" s="278" t="n"/>
      <c r="IQE74" s="278" t="n"/>
      <c r="IQF74" s="278" t="n"/>
      <c r="IQG74" s="278" t="n"/>
      <c r="IQH74" s="278" t="n"/>
      <c r="IQI74" s="278" t="n"/>
      <c r="IQJ74" s="278" t="n"/>
      <c r="IQK74" s="278" t="n"/>
      <c r="IQL74" s="278" t="n"/>
      <c r="IQM74" s="278" t="n"/>
      <c r="IQN74" s="278" t="n"/>
      <c r="IQO74" s="278" t="n"/>
      <c r="IQP74" s="278" t="n"/>
      <c r="IQQ74" s="278" t="n"/>
      <c r="IQR74" s="278" t="n"/>
      <c r="IQS74" s="278" t="n"/>
      <c r="IQT74" s="278" t="n"/>
      <c r="IQU74" s="278" t="n"/>
      <c r="IQV74" s="278" t="n"/>
      <c r="IQW74" s="278" t="n"/>
      <c r="IQX74" s="278" t="n"/>
      <c r="IQY74" s="278" t="n"/>
      <c r="IQZ74" s="278" t="n"/>
      <c r="IRA74" s="278" t="n"/>
      <c r="IRB74" s="278" t="n"/>
      <c r="IRC74" s="278" t="n"/>
      <c r="IRD74" s="278" t="n"/>
      <c r="IRE74" s="278" t="n"/>
      <c r="IRF74" s="278" t="n"/>
      <c r="IRG74" s="278" t="n"/>
      <c r="IRH74" s="278" t="n"/>
      <c r="IRI74" s="278" t="n"/>
      <c r="IRJ74" s="278" t="n"/>
      <c r="IRK74" s="278" t="n"/>
      <c r="IRL74" s="278" t="n"/>
      <c r="IRM74" s="278" t="n"/>
      <c r="IRN74" s="278" t="n"/>
      <c r="IRO74" s="278" t="n"/>
      <c r="IRP74" s="278" t="n"/>
      <c r="IRQ74" s="278" t="n"/>
      <c r="IRR74" s="278" t="n"/>
      <c r="IRS74" s="278" t="n"/>
      <c r="IRT74" s="278" t="n"/>
      <c r="IRU74" s="278" t="n"/>
      <c r="IRV74" s="278" t="n"/>
      <c r="IRW74" s="278" t="n"/>
      <c r="IRX74" s="278" t="n"/>
      <c r="IRY74" s="278" t="n"/>
      <c r="IRZ74" s="278" t="n"/>
      <c r="ISA74" s="278" t="n"/>
      <c r="ISB74" s="278" t="n"/>
      <c r="ISC74" s="278" t="n"/>
      <c r="ISD74" s="278" t="n"/>
      <c r="ISE74" s="278" t="n"/>
      <c r="ISF74" s="278" t="n"/>
      <c r="ISG74" s="278" t="n"/>
      <c r="ISH74" s="278" t="n"/>
      <c r="ISI74" s="278" t="n"/>
      <c r="ISJ74" s="278" t="n"/>
      <c r="ISK74" s="278" t="n"/>
      <c r="ISL74" s="278" t="n"/>
      <c r="ISM74" s="278" t="n"/>
      <c r="ISN74" s="278" t="n"/>
      <c r="ISO74" s="278" t="n"/>
      <c r="ISP74" s="278" t="n"/>
      <c r="ISQ74" s="278" t="n"/>
      <c r="ISR74" s="278" t="n"/>
      <c r="ISS74" s="278" t="n"/>
      <c r="IST74" s="278" t="n"/>
      <c r="ISU74" s="278" t="n"/>
      <c r="ISV74" s="278" t="n"/>
      <c r="ISW74" s="278" t="n"/>
      <c r="ISX74" s="278" t="n"/>
      <c r="ISY74" s="278" t="n"/>
      <c r="ISZ74" s="278" t="n"/>
      <c r="ITA74" s="278" t="n"/>
      <c r="ITB74" s="278" t="n"/>
      <c r="ITC74" s="278" t="n"/>
      <c r="ITD74" s="278" t="n"/>
      <c r="ITE74" s="278" t="n"/>
      <c r="ITF74" s="278" t="n"/>
      <c r="ITG74" s="278" t="n"/>
      <c r="ITH74" s="278" t="n"/>
      <c r="ITI74" s="278" t="n"/>
      <c r="ITJ74" s="278" t="n"/>
      <c r="ITK74" s="278" t="n"/>
      <c r="ITL74" s="278" t="n"/>
      <c r="ITM74" s="278" t="n"/>
      <c r="ITN74" s="278" t="n"/>
      <c r="ITO74" s="278" t="n"/>
      <c r="ITP74" s="278" t="n"/>
      <c r="ITQ74" s="278" t="n"/>
      <c r="ITR74" s="278" t="n"/>
      <c r="ITS74" s="278" t="n"/>
      <c r="ITT74" s="278" t="n"/>
      <c r="ITU74" s="278" t="n"/>
      <c r="ITV74" s="278" t="n"/>
      <c r="ITW74" s="278" t="n"/>
      <c r="ITX74" s="278" t="n"/>
      <c r="ITY74" s="278" t="n"/>
      <c r="ITZ74" s="278" t="n"/>
      <c r="IUA74" s="278" t="n"/>
      <c r="IUB74" s="278" t="n"/>
      <c r="IUC74" s="278" t="n"/>
      <c r="IUD74" s="278" t="n"/>
      <c r="IUE74" s="278" t="n"/>
      <c r="IUF74" s="278" t="n"/>
      <c r="IUG74" s="278" t="n"/>
      <c r="IUH74" s="278" t="n"/>
      <c r="IUI74" s="278" t="n"/>
      <c r="IUJ74" s="278" t="n"/>
      <c r="IUK74" s="278" t="n"/>
      <c r="IUL74" s="278" t="n"/>
      <c r="IUM74" s="278" t="n"/>
      <c r="IUN74" s="278" t="n"/>
      <c r="IUO74" s="278" t="n"/>
      <c r="IUP74" s="278" t="n"/>
      <c r="IUQ74" s="278" t="n"/>
      <c r="IUR74" s="278" t="n"/>
      <c r="IUS74" s="278" t="n"/>
      <c r="IUT74" s="278" t="n"/>
      <c r="IUU74" s="278" t="n"/>
      <c r="IUV74" s="278" t="n"/>
      <c r="IUW74" s="278" t="n"/>
      <c r="IUX74" s="278" t="n"/>
      <c r="IUY74" s="278" t="n"/>
      <c r="IUZ74" s="278" t="n"/>
      <c r="IVA74" s="278" t="n"/>
      <c r="IVB74" s="278" t="n"/>
      <c r="IVC74" s="278" t="n"/>
      <c r="IVD74" s="278" t="n"/>
      <c r="IVE74" s="278" t="n"/>
      <c r="IVF74" s="278" t="n"/>
      <c r="IVG74" s="278" t="n"/>
      <c r="IVH74" s="278" t="n"/>
      <c r="IVI74" s="278" t="n"/>
      <c r="IVJ74" s="278" t="n"/>
      <c r="IVK74" s="278" t="n"/>
      <c r="IVL74" s="278" t="n"/>
      <c r="IVM74" s="278" t="n"/>
      <c r="IVN74" s="278" t="n"/>
      <c r="IVO74" s="278" t="n"/>
      <c r="IVP74" s="278" t="n"/>
      <c r="IVQ74" s="278" t="n"/>
      <c r="IVR74" s="278" t="n"/>
      <c r="IVS74" s="278" t="n"/>
      <c r="IVT74" s="278" t="n"/>
      <c r="IVU74" s="278" t="n"/>
      <c r="IVV74" s="278" t="n"/>
      <c r="IVW74" s="278" t="n"/>
      <c r="IVX74" s="278" t="n"/>
      <c r="IVY74" s="278" t="n"/>
      <c r="IVZ74" s="278" t="n"/>
      <c r="IWA74" s="278" t="n"/>
      <c r="IWB74" s="278" t="n"/>
      <c r="IWC74" s="278" t="n"/>
      <c r="IWD74" s="278" t="n"/>
      <c r="IWE74" s="278" t="n"/>
      <c r="IWF74" s="278" t="n"/>
      <c r="IWG74" s="278" t="n"/>
      <c r="IWH74" s="278" t="n"/>
      <c r="IWI74" s="278" t="n"/>
      <c r="IWJ74" s="278" t="n"/>
      <c r="IWK74" s="278" t="n"/>
      <c r="IWL74" s="278" t="n"/>
      <c r="IWM74" s="278" t="n"/>
      <c r="IWN74" s="278" t="n"/>
      <c r="IWO74" s="278" t="n"/>
      <c r="IWP74" s="278" t="n"/>
      <c r="IWQ74" s="278" t="n"/>
      <c r="IWR74" s="278" t="n"/>
      <c r="IWS74" s="278" t="n"/>
      <c r="IWT74" s="278" t="n"/>
      <c r="IWU74" s="278" t="n"/>
      <c r="IWV74" s="278" t="n"/>
      <c r="IWW74" s="278" t="n"/>
      <c r="IWX74" s="278" t="n"/>
      <c r="IWY74" s="278" t="n"/>
      <c r="IWZ74" s="278" t="n"/>
      <c r="IXA74" s="278" t="n"/>
      <c r="IXB74" s="278" t="n"/>
      <c r="IXC74" s="278" t="n"/>
      <c r="IXD74" s="278" t="n"/>
      <c r="IXE74" s="278" t="n"/>
      <c r="IXF74" s="278" t="n"/>
      <c r="IXG74" s="278" t="n"/>
      <c r="IXH74" s="278" t="n"/>
      <c r="IXI74" s="278" t="n"/>
      <c r="IXJ74" s="278" t="n"/>
      <c r="IXK74" s="278" t="n"/>
      <c r="IXL74" s="278" t="n"/>
      <c r="IXM74" s="278" t="n"/>
      <c r="IXN74" s="278" t="n"/>
      <c r="IXO74" s="278" t="n"/>
      <c r="IXP74" s="278" t="n"/>
      <c r="IXQ74" s="278" t="n"/>
      <c r="IXR74" s="278" t="n"/>
      <c r="IXS74" s="278" t="n"/>
      <c r="IXT74" s="278" t="n"/>
      <c r="IXU74" s="278" t="n"/>
      <c r="IXV74" s="278" t="n"/>
      <c r="IXW74" s="278" t="n"/>
      <c r="IXX74" s="278" t="n"/>
      <c r="IXY74" s="278" t="n"/>
      <c r="IXZ74" s="278" t="n"/>
      <c r="IYA74" s="278" t="n"/>
      <c r="IYB74" s="278" t="n"/>
      <c r="IYC74" s="278" t="n"/>
      <c r="IYD74" s="278" t="n"/>
      <c r="IYE74" s="278" t="n"/>
      <c r="IYF74" s="278" t="n"/>
      <c r="IYG74" s="278" t="n"/>
      <c r="IYH74" s="278" t="n"/>
      <c r="IYI74" s="278" t="n"/>
      <c r="IYJ74" s="278" t="n"/>
      <c r="IYK74" s="278" t="n"/>
      <c r="IYL74" s="278" t="n"/>
      <c r="IYM74" s="278" t="n"/>
      <c r="IYN74" s="278" t="n"/>
      <c r="IYO74" s="278" t="n"/>
      <c r="IYP74" s="278" t="n"/>
      <c r="IYQ74" s="278" t="n"/>
      <c r="IYR74" s="278" t="n"/>
      <c r="IYS74" s="278" t="n"/>
      <c r="IYT74" s="278" t="n"/>
      <c r="IYU74" s="278" t="n"/>
      <c r="IYV74" s="278" t="n"/>
      <c r="IYW74" s="278" t="n"/>
      <c r="IYX74" s="278" t="n"/>
      <c r="IYY74" s="278" t="n"/>
      <c r="IYZ74" s="278" t="n"/>
      <c r="IZA74" s="278" t="n"/>
      <c r="IZB74" s="278" t="n"/>
      <c r="IZC74" s="278" t="n"/>
      <c r="IZD74" s="278" t="n"/>
      <c r="IZE74" s="278" t="n"/>
      <c r="IZF74" s="278" t="n"/>
      <c r="IZG74" s="278" t="n"/>
      <c r="IZH74" s="278" t="n"/>
      <c r="IZI74" s="278" t="n"/>
      <c r="IZJ74" s="278" t="n"/>
      <c r="IZK74" s="278" t="n"/>
      <c r="IZL74" s="278" t="n"/>
      <c r="IZM74" s="278" t="n"/>
      <c r="IZN74" s="278" t="n"/>
      <c r="IZO74" s="278" t="n"/>
      <c r="IZP74" s="278" t="n"/>
      <c r="IZQ74" s="278" t="n"/>
      <c r="IZR74" s="278" t="n"/>
      <c r="IZS74" s="278" t="n"/>
      <c r="IZT74" s="278" t="n"/>
      <c r="IZU74" s="278" t="n"/>
      <c r="IZV74" s="278" t="n"/>
      <c r="IZW74" s="278" t="n"/>
      <c r="IZX74" s="278" t="n"/>
      <c r="IZY74" s="278" t="n"/>
      <c r="IZZ74" s="278" t="n"/>
      <c r="JAA74" s="278" t="n"/>
      <c r="JAB74" s="278" t="n"/>
      <c r="JAC74" s="278" t="n"/>
      <c r="JAD74" s="278" t="n"/>
      <c r="JAE74" s="278" t="n"/>
      <c r="JAF74" s="278" t="n"/>
      <c r="JAG74" s="278" t="n"/>
      <c r="JAH74" s="278" t="n"/>
      <c r="JAI74" s="278" t="n"/>
      <c r="JAJ74" s="278" t="n"/>
      <c r="JAK74" s="278" t="n"/>
      <c r="JAL74" s="278" t="n"/>
      <c r="JAM74" s="278" t="n"/>
      <c r="JAN74" s="278" t="n"/>
      <c r="JAO74" s="278" t="n"/>
      <c r="JAP74" s="278" t="n"/>
      <c r="JAQ74" s="278" t="n"/>
      <c r="JAR74" s="278" t="n"/>
      <c r="JAS74" s="278" t="n"/>
      <c r="JAT74" s="278" t="n"/>
      <c r="JAU74" s="278" t="n"/>
      <c r="JAV74" s="278" t="n"/>
      <c r="JAW74" s="278" t="n"/>
      <c r="JAX74" s="278" t="n"/>
      <c r="JAY74" s="278" t="n"/>
      <c r="JAZ74" s="278" t="n"/>
      <c r="JBA74" s="278" t="n"/>
      <c r="JBB74" s="278" t="n"/>
      <c r="JBC74" s="278" t="n"/>
      <c r="JBD74" s="278" t="n"/>
      <c r="JBE74" s="278" t="n"/>
      <c r="JBF74" s="278" t="n"/>
      <c r="JBG74" s="278" t="n"/>
      <c r="JBH74" s="278" t="n"/>
      <c r="JBI74" s="278" t="n"/>
      <c r="JBJ74" s="278" t="n"/>
      <c r="JBK74" s="278" t="n"/>
      <c r="JBL74" s="278" t="n"/>
      <c r="JBM74" s="278" t="n"/>
      <c r="JBN74" s="278" t="n"/>
      <c r="JBO74" s="278" t="n"/>
      <c r="JBP74" s="278" t="n"/>
      <c r="JBQ74" s="278" t="n"/>
      <c r="JBR74" s="278" t="n"/>
      <c r="JBS74" s="278" t="n"/>
      <c r="JBT74" s="278" t="n"/>
      <c r="JBU74" s="278" t="n"/>
      <c r="JBV74" s="278" t="n"/>
      <c r="JBW74" s="278" t="n"/>
      <c r="JBX74" s="278" t="n"/>
      <c r="JBY74" s="278" t="n"/>
      <c r="JBZ74" s="278" t="n"/>
      <c r="JCA74" s="278" t="n"/>
      <c r="JCB74" s="278" t="n"/>
      <c r="JCC74" s="278" t="n"/>
      <c r="JCD74" s="278" t="n"/>
      <c r="JCE74" s="278" t="n"/>
      <c r="JCF74" s="278" t="n"/>
      <c r="JCG74" s="278" t="n"/>
      <c r="JCH74" s="278" t="n"/>
      <c r="JCI74" s="278" t="n"/>
      <c r="JCJ74" s="278" t="n"/>
      <c r="JCK74" s="278" t="n"/>
      <c r="JCL74" s="278" t="n"/>
      <c r="JCM74" s="278" t="n"/>
      <c r="JCN74" s="278" t="n"/>
      <c r="JCO74" s="278" t="n"/>
      <c r="JCP74" s="278" t="n"/>
      <c r="JCQ74" s="278" t="n"/>
      <c r="JCR74" s="278" t="n"/>
      <c r="JCS74" s="278" t="n"/>
      <c r="JCT74" s="278" t="n"/>
      <c r="JCU74" s="278" t="n"/>
      <c r="JCV74" s="278" t="n"/>
      <c r="JCW74" s="278" t="n"/>
      <c r="JCX74" s="278" t="n"/>
      <c r="JCY74" s="278" t="n"/>
      <c r="JCZ74" s="278" t="n"/>
      <c r="JDA74" s="278" t="n"/>
      <c r="JDB74" s="278" t="n"/>
      <c r="JDC74" s="278" t="n"/>
      <c r="JDD74" s="278" t="n"/>
      <c r="JDE74" s="278" t="n"/>
      <c r="JDF74" s="278" t="n"/>
      <c r="JDG74" s="278" t="n"/>
      <c r="JDH74" s="278" t="n"/>
      <c r="JDI74" s="278" t="n"/>
      <c r="JDJ74" s="278" t="n"/>
      <c r="JDK74" s="278" t="n"/>
      <c r="JDL74" s="278" t="n"/>
      <c r="JDM74" s="278" t="n"/>
      <c r="JDN74" s="278" t="n"/>
      <c r="JDO74" s="278" t="n"/>
      <c r="JDP74" s="278" t="n"/>
      <c r="JDQ74" s="278" t="n"/>
      <c r="JDR74" s="278" t="n"/>
      <c r="JDS74" s="278" t="n"/>
      <c r="JDT74" s="278" t="n"/>
      <c r="JDU74" s="278" t="n"/>
      <c r="JDV74" s="278" t="n"/>
      <c r="JDW74" s="278" t="n"/>
      <c r="JDX74" s="278" t="n"/>
      <c r="JDY74" s="278" t="n"/>
      <c r="JDZ74" s="278" t="n"/>
      <c r="JEA74" s="278" t="n"/>
      <c r="JEB74" s="278" t="n"/>
      <c r="JEC74" s="278" t="n"/>
      <c r="JED74" s="278" t="n"/>
      <c r="JEE74" s="278" t="n"/>
      <c r="JEF74" s="278" t="n"/>
      <c r="JEG74" s="278" t="n"/>
      <c r="JEH74" s="278" t="n"/>
      <c r="JEI74" s="278" t="n"/>
      <c r="JEJ74" s="278" t="n"/>
      <c r="JEK74" s="278" t="n"/>
      <c r="JEL74" s="278" t="n"/>
      <c r="JEM74" s="278" t="n"/>
      <c r="JEN74" s="278" t="n"/>
      <c r="JEO74" s="278" t="n"/>
      <c r="JEP74" s="278" t="n"/>
      <c r="JEQ74" s="278" t="n"/>
      <c r="JER74" s="278" t="n"/>
      <c r="JES74" s="278" t="n"/>
      <c r="JET74" s="278" t="n"/>
      <c r="JEU74" s="278" t="n"/>
      <c r="JEV74" s="278" t="n"/>
      <c r="JEW74" s="278" t="n"/>
      <c r="JEX74" s="278" t="n"/>
      <c r="JEY74" s="278" t="n"/>
      <c r="JEZ74" s="278" t="n"/>
      <c r="JFA74" s="278" t="n"/>
      <c r="JFB74" s="278" t="n"/>
      <c r="JFC74" s="278" t="n"/>
      <c r="JFD74" s="278" t="n"/>
      <c r="JFE74" s="278" t="n"/>
      <c r="JFF74" s="278" t="n"/>
      <c r="JFG74" s="278" t="n"/>
      <c r="JFH74" s="278" t="n"/>
      <c r="JFI74" s="278" t="n"/>
      <c r="JFJ74" s="278" t="n"/>
      <c r="JFK74" s="278" t="n"/>
      <c r="JFL74" s="278" t="n"/>
      <c r="JFM74" s="278" t="n"/>
      <c r="JFN74" s="278" t="n"/>
      <c r="JFO74" s="278" t="n"/>
      <c r="JFP74" s="278" t="n"/>
      <c r="JFQ74" s="278" t="n"/>
      <c r="JFR74" s="278" t="n"/>
      <c r="JFS74" s="278" t="n"/>
      <c r="JFT74" s="278" t="n"/>
      <c r="JFU74" s="278" t="n"/>
      <c r="JFV74" s="278" t="n"/>
      <c r="JFW74" s="278" t="n"/>
      <c r="JFX74" s="278" t="n"/>
      <c r="JFY74" s="278" t="n"/>
      <c r="JFZ74" s="278" t="n"/>
      <c r="JGA74" s="278" t="n"/>
      <c r="JGB74" s="278" t="n"/>
      <c r="JGC74" s="278" t="n"/>
      <c r="JGD74" s="278" t="n"/>
      <c r="JGE74" s="278" t="n"/>
      <c r="JGF74" s="278" t="n"/>
      <c r="JGG74" s="278" t="n"/>
      <c r="JGH74" s="278" t="n"/>
      <c r="JGI74" s="278" t="n"/>
      <c r="JGJ74" s="278" t="n"/>
      <c r="JGK74" s="278" t="n"/>
      <c r="JGL74" s="278" t="n"/>
      <c r="JGM74" s="278" t="n"/>
      <c r="JGN74" s="278" t="n"/>
      <c r="JGO74" s="278" t="n"/>
      <c r="JGP74" s="278" t="n"/>
      <c r="JGQ74" s="278" t="n"/>
      <c r="JGR74" s="278" t="n"/>
      <c r="JGS74" s="278" t="n"/>
      <c r="JGT74" s="278" t="n"/>
      <c r="JGU74" s="278" t="n"/>
      <c r="JGV74" s="278" t="n"/>
      <c r="JGW74" s="278" t="n"/>
      <c r="JGX74" s="278" t="n"/>
      <c r="JGY74" s="278" t="n"/>
      <c r="JGZ74" s="278" t="n"/>
      <c r="JHA74" s="278" t="n"/>
      <c r="JHB74" s="278" t="n"/>
      <c r="JHC74" s="278" t="n"/>
      <c r="JHD74" s="278" t="n"/>
      <c r="JHE74" s="278" t="n"/>
      <c r="JHF74" s="278" t="n"/>
      <c r="JHG74" s="278" t="n"/>
      <c r="JHH74" s="278" t="n"/>
      <c r="JHI74" s="278" t="n"/>
      <c r="JHJ74" s="278" t="n"/>
      <c r="JHK74" s="278" t="n"/>
      <c r="JHL74" s="278" t="n"/>
      <c r="JHM74" s="278" t="n"/>
      <c r="JHN74" s="278" t="n"/>
      <c r="JHO74" s="278" t="n"/>
      <c r="JHP74" s="278" t="n"/>
      <c r="JHQ74" s="278" t="n"/>
      <c r="JHR74" s="278" t="n"/>
      <c r="JHS74" s="278" t="n"/>
      <c r="JHT74" s="278" t="n"/>
      <c r="JHU74" s="278" t="n"/>
      <c r="JHV74" s="278" t="n"/>
      <c r="JHW74" s="278" t="n"/>
      <c r="JHX74" s="278" t="n"/>
      <c r="JHY74" s="278" t="n"/>
      <c r="JHZ74" s="278" t="n"/>
      <c r="JIA74" s="278" t="n"/>
      <c r="JIB74" s="278" t="n"/>
      <c r="JIC74" s="278" t="n"/>
      <c r="JID74" s="278" t="n"/>
      <c r="JIE74" s="278" t="n"/>
      <c r="JIF74" s="278" t="n"/>
      <c r="JIG74" s="278" t="n"/>
      <c r="JIH74" s="278" t="n"/>
      <c r="JII74" s="278" t="n"/>
      <c r="JIJ74" s="278" t="n"/>
      <c r="JIK74" s="278" t="n"/>
      <c r="JIL74" s="278" t="n"/>
      <c r="JIM74" s="278" t="n"/>
      <c r="JIN74" s="278" t="n"/>
      <c r="JIO74" s="278" t="n"/>
      <c r="JIP74" s="278" t="n"/>
      <c r="JIQ74" s="278" t="n"/>
      <c r="JIR74" s="278" t="n"/>
      <c r="JIS74" s="278" t="n"/>
      <c r="JIT74" s="278" t="n"/>
      <c r="JIU74" s="278" t="n"/>
      <c r="JIV74" s="278" t="n"/>
      <c r="JIW74" s="278" t="n"/>
      <c r="JIX74" s="278" t="n"/>
      <c r="JIY74" s="278" t="n"/>
      <c r="JIZ74" s="278" t="n"/>
      <c r="JJA74" s="278" t="n"/>
      <c r="JJB74" s="278" t="n"/>
      <c r="JJC74" s="278" t="n"/>
      <c r="JJD74" s="278" t="n"/>
      <c r="JJE74" s="278" t="n"/>
      <c r="JJF74" s="278" t="n"/>
      <c r="JJG74" s="278" t="n"/>
      <c r="JJH74" s="278" t="n"/>
      <c r="JJI74" s="278" t="n"/>
      <c r="JJJ74" s="278" t="n"/>
      <c r="JJK74" s="278" t="n"/>
      <c r="JJL74" s="278" t="n"/>
      <c r="JJM74" s="278" t="n"/>
      <c r="JJN74" s="278" t="n"/>
      <c r="JJO74" s="278" t="n"/>
      <c r="JJP74" s="278" t="n"/>
      <c r="JJQ74" s="278" t="n"/>
      <c r="JJR74" s="278" t="n"/>
      <c r="JJS74" s="278" t="n"/>
      <c r="JJT74" s="278" t="n"/>
      <c r="JJU74" s="278" t="n"/>
      <c r="JJV74" s="278" t="n"/>
      <c r="JJW74" s="278" t="n"/>
      <c r="JJX74" s="278" t="n"/>
      <c r="JJY74" s="278" t="n"/>
      <c r="JJZ74" s="278" t="n"/>
      <c r="JKA74" s="278" t="n"/>
      <c r="JKB74" s="278" t="n"/>
      <c r="JKC74" s="278" t="n"/>
      <c r="JKD74" s="278" t="n"/>
      <c r="JKE74" s="278" t="n"/>
      <c r="JKF74" s="278" t="n"/>
      <c r="JKG74" s="278" t="n"/>
      <c r="JKH74" s="278" t="n"/>
      <c r="JKI74" s="278" t="n"/>
      <c r="JKJ74" s="278" t="n"/>
      <c r="JKK74" s="278" t="n"/>
      <c r="JKL74" s="278" t="n"/>
      <c r="JKM74" s="278" t="n"/>
      <c r="JKN74" s="278" t="n"/>
      <c r="JKO74" s="278" t="n"/>
      <c r="JKP74" s="278" t="n"/>
      <c r="JKQ74" s="278" t="n"/>
      <c r="JKR74" s="278" t="n"/>
      <c r="JKS74" s="278" t="n"/>
      <c r="JKT74" s="278" t="n"/>
      <c r="JKU74" s="278" t="n"/>
      <c r="JKV74" s="278" t="n"/>
      <c r="JKW74" s="278" t="n"/>
      <c r="JKX74" s="278" t="n"/>
      <c r="JKY74" s="278" t="n"/>
      <c r="JKZ74" s="278" t="n"/>
      <c r="JLA74" s="278" t="n"/>
      <c r="JLB74" s="278" t="n"/>
      <c r="JLC74" s="278" t="n"/>
      <c r="JLD74" s="278" t="n"/>
      <c r="JLE74" s="278" t="n"/>
      <c r="JLF74" s="278" t="n"/>
      <c r="JLG74" s="278" t="n"/>
      <c r="JLH74" s="278" t="n"/>
      <c r="JLI74" s="278" t="n"/>
      <c r="JLJ74" s="278" t="n"/>
      <c r="JLK74" s="278" t="n"/>
      <c r="JLL74" s="278" t="n"/>
      <c r="JLM74" s="278" t="n"/>
      <c r="JLN74" s="278" t="n"/>
      <c r="JLO74" s="278" t="n"/>
      <c r="JLP74" s="278" t="n"/>
      <c r="JLQ74" s="278" t="n"/>
      <c r="JLR74" s="278" t="n"/>
      <c r="JLS74" s="278" t="n"/>
      <c r="JLT74" s="278" t="n"/>
      <c r="JLU74" s="278" t="n"/>
      <c r="JLV74" s="278" t="n"/>
      <c r="JLW74" s="278" t="n"/>
      <c r="JLX74" s="278" t="n"/>
      <c r="JLY74" s="278" t="n"/>
      <c r="JLZ74" s="278" t="n"/>
      <c r="JMA74" s="278" t="n"/>
      <c r="JMB74" s="278" t="n"/>
      <c r="JMC74" s="278" t="n"/>
      <c r="JMD74" s="278" t="n"/>
      <c r="JME74" s="278" t="n"/>
      <c r="JMF74" s="278" t="n"/>
      <c r="JMG74" s="278" t="n"/>
      <c r="JMH74" s="278" t="n"/>
      <c r="JMI74" s="278" t="n"/>
      <c r="JMJ74" s="278" t="n"/>
      <c r="JMK74" s="278" t="n"/>
      <c r="JML74" s="278" t="n"/>
      <c r="JMM74" s="278" t="n"/>
      <c r="JMN74" s="278" t="n"/>
      <c r="JMO74" s="278" t="n"/>
      <c r="JMP74" s="278" t="n"/>
      <c r="JMQ74" s="278" t="n"/>
      <c r="JMR74" s="278" t="n"/>
      <c r="JMS74" s="278" t="n"/>
      <c r="JMT74" s="278" t="n"/>
      <c r="JMU74" s="278" t="n"/>
      <c r="JMV74" s="278" t="n"/>
      <c r="JMW74" s="278" t="n"/>
      <c r="JMX74" s="278" t="n"/>
      <c r="JMY74" s="278" t="n"/>
      <c r="JMZ74" s="278" t="n"/>
      <c r="JNA74" s="278" t="n"/>
      <c r="JNB74" s="278" t="n"/>
      <c r="JNC74" s="278" t="n"/>
      <c r="JND74" s="278" t="n"/>
      <c r="JNE74" s="278" t="n"/>
      <c r="JNF74" s="278" t="n"/>
      <c r="JNG74" s="278" t="n"/>
      <c r="JNH74" s="278" t="n"/>
      <c r="JNI74" s="278" t="n"/>
      <c r="JNJ74" s="278" t="n"/>
      <c r="JNK74" s="278" t="n"/>
      <c r="JNL74" s="278" t="n"/>
      <c r="JNM74" s="278" t="n"/>
      <c r="JNN74" s="278" t="n"/>
      <c r="JNO74" s="278" t="n"/>
      <c r="JNP74" s="278" t="n"/>
      <c r="JNQ74" s="278" t="n"/>
      <c r="JNR74" s="278" t="n"/>
      <c r="JNS74" s="278" t="n"/>
      <c r="JNT74" s="278" t="n"/>
      <c r="JNU74" s="278" t="n"/>
      <c r="JNV74" s="278" t="n"/>
      <c r="JNW74" s="278" t="n"/>
      <c r="JNX74" s="278" t="n"/>
      <c r="JNY74" s="278" t="n"/>
      <c r="JNZ74" s="278" t="n"/>
      <c r="JOA74" s="278" t="n"/>
      <c r="JOB74" s="278" t="n"/>
      <c r="JOC74" s="278" t="n"/>
      <c r="JOD74" s="278" t="n"/>
      <c r="JOE74" s="278" t="n"/>
      <c r="JOF74" s="278" t="n"/>
      <c r="JOG74" s="278" t="n"/>
      <c r="JOH74" s="278" t="n"/>
      <c r="JOI74" s="278" t="n"/>
      <c r="JOJ74" s="278" t="n"/>
      <c r="JOK74" s="278" t="n"/>
      <c r="JOL74" s="278" t="n"/>
      <c r="JOM74" s="278" t="n"/>
      <c r="JON74" s="278" t="n"/>
      <c r="JOO74" s="278" t="n"/>
      <c r="JOP74" s="278" t="n"/>
      <c r="JOQ74" s="278" t="n"/>
      <c r="JOR74" s="278" t="n"/>
      <c r="JOS74" s="278" t="n"/>
      <c r="JOT74" s="278" t="n"/>
      <c r="JOU74" s="278" t="n"/>
      <c r="JOV74" s="278" t="n"/>
      <c r="JOW74" s="278" t="n"/>
      <c r="JOX74" s="278" t="n"/>
      <c r="JOY74" s="278" t="n"/>
      <c r="JOZ74" s="278" t="n"/>
      <c r="JPA74" s="278" t="n"/>
      <c r="JPB74" s="278" t="n"/>
      <c r="JPC74" s="278" t="n"/>
      <c r="JPD74" s="278" t="n"/>
      <c r="JPE74" s="278" t="n"/>
      <c r="JPF74" s="278" t="n"/>
      <c r="JPG74" s="278" t="n"/>
      <c r="JPH74" s="278" t="n"/>
      <c r="JPI74" s="278" t="n"/>
      <c r="JPJ74" s="278" t="n"/>
      <c r="JPK74" s="278" t="n"/>
      <c r="JPL74" s="278" t="n"/>
      <c r="JPM74" s="278" t="n"/>
      <c r="JPN74" s="278" t="n"/>
      <c r="JPO74" s="278" t="n"/>
      <c r="JPP74" s="278" t="n"/>
      <c r="JPQ74" s="278" t="n"/>
      <c r="JPR74" s="278" t="n"/>
      <c r="JPS74" s="278" t="n"/>
      <c r="JPT74" s="278" t="n"/>
      <c r="JPU74" s="278" t="n"/>
      <c r="JPV74" s="278" t="n"/>
      <c r="JPW74" s="278" t="n"/>
      <c r="JPX74" s="278" t="n"/>
      <c r="JPY74" s="278" t="n"/>
      <c r="JPZ74" s="278" t="n"/>
      <c r="JQA74" s="278" t="n"/>
      <c r="JQB74" s="278" t="n"/>
      <c r="JQC74" s="278" t="n"/>
      <c r="JQD74" s="278" t="n"/>
      <c r="JQE74" s="278" t="n"/>
      <c r="JQF74" s="278" t="n"/>
      <c r="JQG74" s="278" t="n"/>
      <c r="JQH74" s="278" t="n"/>
      <c r="JQI74" s="278" t="n"/>
      <c r="JQJ74" s="278" t="n"/>
      <c r="JQK74" s="278" t="n"/>
      <c r="JQL74" s="278" t="n"/>
      <c r="JQM74" s="278" t="n"/>
      <c r="JQN74" s="278" t="n"/>
      <c r="JQO74" s="278" t="n"/>
      <c r="JQP74" s="278" t="n"/>
      <c r="JQQ74" s="278" t="n"/>
      <c r="JQR74" s="278" t="n"/>
      <c r="JQS74" s="278" t="n"/>
      <c r="JQT74" s="278" t="n"/>
      <c r="JQU74" s="278" t="n"/>
      <c r="JQV74" s="278" t="n"/>
      <c r="JQW74" s="278" t="n"/>
      <c r="JQX74" s="278" t="n"/>
      <c r="JQY74" s="278" t="n"/>
      <c r="JQZ74" s="278" t="n"/>
      <c r="JRA74" s="278" t="n"/>
      <c r="JRB74" s="278" t="n"/>
      <c r="JRC74" s="278" t="n"/>
      <c r="JRD74" s="278" t="n"/>
      <c r="JRE74" s="278" t="n"/>
      <c r="JRF74" s="278" t="n"/>
      <c r="JRG74" s="278" t="n"/>
      <c r="JRH74" s="278" t="n"/>
      <c r="JRI74" s="278" t="n"/>
      <c r="JRJ74" s="278" t="n"/>
      <c r="JRK74" s="278" t="n"/>
      <c r="JRL74" s="278" t="n"/>
      <c r="JRM74" s="278" t="n"/>
      <c r="JRN74" s="278" t="n"/>
      <c r="JRO74" s="278" t="n"/>
      <c r="JRP74" s="278" t="n"/>
      <c r="JRQ74" s="278" t="n"/>
      <c r="JRR74" s="278" t="n"/>
      <c r="JRS74" s="278" t="n"/>
      <c r="JRT74" s="278" t="n"/>
      <c r="JRU74" s="278" t="n"/>
      <c r="JRV74" s="278" t="n"/>
      <c r="JRW74" s="278" t="n"/>
      <c r="JRX74" s="278" t="n"/>
      <c r="JRY74" s="278" t="n"/>
      <c r="JRZ74" s="278" t="n"/>
      <c r="JSA74" s="278" t="n"/>
      <c r="JSB74" s="278" t="n"/>
      <c r="JSC74" s="278" t="n"/>
      <c r="JSD74" s="278" t="n"/>
      <c r="JSE74" s="278" t="n"/>
      <c r="JSF74" s="278" t="n"/>
      <c r="JSG74" s="278" t="n"/>
      <c r="JSH74" s="278" t="n"/>
      <c r="JSI74" s="278" t="n"/>
      <c r="JSJ74" s="278" t="n"/>
      <c r="JSK74" s="278" t="n"/>
      <c r="JSL74" s="278" t="n"/>
      <c r="JSM74" s="278" t="n"/>
      <c r="JSN74" s="278" t="n"/>
      <c r="JSO74" s="278" t="n"/>
      <c r="JSP74" s="278" t="n"/>
      <c r="JSQ74" s="278" t="n"/>
      <c r="JSR74" s="278" t="n"/>
      <c r="JSS74" s="278" t="n"/>
      <c r="JST74" s="278" t="n"/>
      <c r="JSU74" s="278" t="n"/>
      <c r="JSV74" s="278" t="n"/>
      <c r="JSW74" s="278" t="n"/>
      <c r="JSX74" s="278" t="n"/>
      <c r="JSY74" s="278" t="n"/>
      <c r="JSZ74" s="278" t="n"/>
      <c r="JTA74" s="278" t="n"/>
      <c r="JTB74" s="278" t="n"/>
      <c r="JTC74" s="278" t="n"/>
      <c r="JTD74" s="278" t="n"/>
      <c r="JTE74" s="278" t="n"/>
      <c r="JTF74" s="278" t="n"/>
      <c r="JTG74" s="278" t="n"/>
      <c r="JTH74" s="278" t="n"/>
      <c r="JTI74" s="278" t="n"/>
      <c r="JTJ74" s="278" t="n"/>
      <c r="JTK74" s="278" t="n"/>
      <c r="JTL74" s="278" t="n"/>
      <c r="JTM74" s="278" t="n"/>
      <c r="JTN74" s="278" t="n"/>
      <c r="JTO74" s="278" t="n"/>
      <c r="JTP74" s="278" t="n"/>
      <c r="JTQ74" s="278" t="n"/>
      <c r="JTR74" s="278" t="n"/>
      <c r="JTS74" s="278" t="n"/>
      <c r="JTT74" s="278" t="n"/>
      <c r="JTU74" s="278" t="n"/>
      <c r="JTV74" s="278" t="n"/>
      <c r="JTW74" s="278" t="n"/>
      <c r="JTX74" s="278" t="n"/>
      <c r="JTY74" s="278" t="n"/>
      <c r="JTZ74" s="278" t="n"/>
      <c r="JUA74" s="278" t="n"/>
      <c r="JUB74" s="278" t="n"/>
      <c r="JUC74" s="278" t="n"/>
      <c r="JUD74" s="278" t="n"/>
      <c r="JUE74" s="278" t="n"/>
      <c r="JUF74" s="278" t="n"/>
      <c r="JUG74" s="278" t="n"/>
      <c r="JUH74" s="278" t="n"/>
      <c r="JUI74" s="278" t="n"/>
      <c r="JUJ74" s="278" t="n"/>
      <c r="JUK74" s="278" t="n"/>
      <c r="JUL74" s="278" t="n"/>
      <c r="JUM74" s="278" t="n"/>
      <c r="JUN74" s="278" t="n"/>
      <c r="JUO74" s="278" t="n"/>
      <c r="JUP74" s="278" t="n"/>
      <c r="JUQ74" s="278" t="n"/>
      <c r="JUR74" s="278" t="n"/>
      <c r="JUS74" s="278" t="n"/>
      <c r="JUT74" s="278" t="n"/>
      <c r="JUU74" s="278" t="n"/>
      <c r="JUV74" s="278" t="n"/>
      <c r="JUW74" s="278" t="n"/>
      <c r="JUX74" s="278" t="n"/>
      <c r="JUY74" s="278" t="n"/>
      <c r="JUZ74" s="278" t="n"/>
      <c r="JVA74" s="278" t="n"/>
      <c r="JVB74" s="278" t="n"/>
      <c r="JVC74" s="278" t="n"/>
      <c r="JVD74" s="278" t="n"/>
      <c r="JVE74" s="278" t="n"/>
      <c r="JVF74" s="278" t="n"/>
      <c r="JVG74" s="278" t="n"/>
      <c r="JVH74" s="278" t="n"/>
      <c r="JVI74" s="278" t="n"/>
      <c r="JVJ74" s="278" t="n"/>
      <c r="JVK74" s="278" t="n"/>
      <c r="JVL74" s="278" t="n"/>
      <c r="JVM74" s="278" t="n"/>
      <c r="JVN74" s="278" t="n"/>
      <c r="JVO74" s="278" t="n"/>
      <c r="JVP74" s="278" t="n"/>
      <c r="JVQ74" s="278" t="n"/>
      <c r="JVR74" s="278" t="n"/>
      <c r="JVS74" s="278" t="n"/>
      <c r="JVT74" s="278" t="n"/>
      <c r="JVU74" s="278" t="n"/>
      <c r="JVV74" s="278" t="n"/>
      <c r="JVW74" s="278" t="n"/>
      <c r="JVX74" s="278" t="n"/>
      <c r="JVY74" s="278" t="n"/>
      <c r="JVZ74" s="278" t="n"/>
      <c r="JWA74" s="278" t="n"/>
      <c r="JWB74" s="278" t="n"/>
      <c r="JWC74" s="278" t="n"/>
      <c r="JWD74" s="278" t="n"/>
      <c r="JWE74" s="278" t="n"/>
      <c r="JWF74" s="278" t="n"/>
      <c r="JWG74" s="278" t="n"/>
      <c r="JWH74" s="278" t="n"/>
      <c r="JWI74" s="278" t="n"/>
      <c r="JWJ74" s="278" t="n"/>
      <c r="JWK74" s="278" t="n"/>
      <c r="JWL74" s="278" t="n"/>
      <c r="JWM74" s="278" t="n"/>
      <c r="JWN74" s="278" t="n"/>
      <c r="JWO74" s="278" t="n"/>
      <c r="JWP74" s="278" t="n"/>
      <c r="JWQ74" s="278" t="n"/>
      <c r="JWR74" s="278" t="n"/>
      <c r="JWS74" s="278" t="n"/>
      <c r="JWT74" s="278" t="n"/>
      <c r="JWU74" s="278" t="n"/>
      <c r="JWV74" s="278" t="n"/>
      <c r="JWW74" s="278" t="n"/>
      <c r="JWX74" s="278" t="n"/>
      <c r="JWY74" s="278" t="n"/>
      <c r="JWZ74" s="278" t="n"/>
      <c r="JXA74" s="278" t="n"/>
      <c r="JXB74" s="278" t="n"/>
      <c r="JXC74" s="278" t="n"/>
      <c r="JXD74" s="278" t="n"/>
      <c r="JXE74" s="278" t="n"/>
      <c r="JXF74" s="278" t="n"/>
      <c r="JXG74" s="278" t="n"/>
      <c r="JXH74" s="278" t="n"/>
      <c r="JXI74" s="278" t="n"/>
      <c r="JXJ74" s="278" t="n"/>
      <c r="JXK74" s="278" t="n"/>
      <c r="JXL74" s="278" t="n"/>
      <c r="JXM74" s="278" t="n"/>
      <c r="JXN74" s="278" t="n"/>
      <c r="JXO74" s="278" t="n"/>
      <c r="JXP74" s="278" t="n"/>
      <c r="JXQ74" s="278" t="n"/>
      <c r="JXR74" s="278" t="n"/>
      <c r="JXS74" s="278" t="n"/>
      <c r="JXT74" s="278" t="n"/>
      <c r="JXU74" s="278" t="n"/>
      <c r="JXV74" s="278" t="n"/>
      <c r="JXW74" s="278" t="n"/>
      <c r="JXX74" s="278" t="n"/>
      <c r="JXY74" s="278" t="n"/>
      <c r="JXZ74" s="278" t="n"/>
      <c r="JYA74" s="278" t="n"/>
      <c r="JYB74" s="278" t="n"/>
      <c r="JYC74" s="278" t="n"/>
      <c r="JYD74" s="278" t="n"/>
      <c r="JYE74" s="278" t="n"/>
      <c r="JYF74" s="278" t="n"/>
      <c r="JYG74" s="278" t="n"/>
      <c r="JYH74" s="278" t="n"/>
      <c r="JYI74" s="278" t="n"/>
      <c r="JYJ74" s="278" t="n"/>
      <c r="JYK74" s="278" t="n"/>
      <c r="JYL74" s="278" t="n"/>
      <c r="JYM74" s="278" t="n"/>
      <c r="JYN74" s="278" t="n"/>
      <c r="JYO74" s="278" t="n"/>
      <c r="JYP74" s="278" t="n"/>
      <c r="JYQ74" s="278" t="n"/>
      <c r="JYR74" s="278" t="n"/>
      <c r="JYS74" s="278" t="n"/>
      <c r="JYT74" s="278" t="n"/>
      <c r="JYU74" s="278" t="n"/>
      <c r="JYV74" s="278" t="n"/>
      <c r="JYW74" s="278" t="n"/>
      <c r="JYX74" s="278" t="n"/>
      <c r="JYY74" s="278" t="n"/>
      <c r="JYZ74" s="278" t="n"/>
      <c r="JZA74" s="278" t="n"/>
      <c r="JZB74" s="278" t="n"/>
      <c r="JZC74" s="278" t="n"/>
      <c r="JZD74" s="278" t="n"/>
      <c r="JZE74" s="278" t="n"/>
      <c r="JZF74" s="278" t="n"/>
      <c r="JZG74" s="278" t="n"/>
      <c r="JZH74" s="278" t="n"/>
      <c r="JZI74" s="278" t="n"/>
      <c r="JZJ74" s="278" t="n"/>
      <c r="JZK74" s="278" t="n"/>
      <c r="JZL74" s="278" t="n"/>
      <c r="JZM74" s="278" t="n"/>
      <c r="JZN74" s="278" t="n"/>
      <c r="JZO74" s="278" t="n"/>
      <c r="JZP74" s="278" t="n"/>
      <c r="JZQ74" s="278" t="n"/>
      <c r="JZR74" s="278" t="n"/>
      <c r="JZS74" s="278" t="n"/>
      <c r="JZT74" s="278" t="n"/>
      <c r="JZU74" s="278" t="n"/>
      <c r="JZV74" s="278" t="n"/>
      <c r="JZW74" s="278" t="n"/>
      <c r="JZX74" s="278" t="n"/>
      <c r="JZY74" s="278" t="n"/>
      <c r="JZZ74" s="278" t="n"/>
      <c r="KAA74" s="278" t="n"/>
      <c r="KAB74" s="278" t="n"/>
      <c r="KAC74" s="278" t="n"/>
      <c r="KAD74" s="278" t="n"/>
      <c r="KAE74" s="278" t="n"/>
      <c r="KAF74" s="278" t="n"/>
      <c r="KAG74" s="278" t="n"/>
      <c r="KAH74" s="278" t="n"/>
      <c r="KAI74" s="278" t="n"/>
      <c r="KAJ74" s="278" t="n"/>
      <c r="KAK74" s="278" t="n"/>
      <c r="KAL74" s="278" t="n"/>
      <c r="KAM74" s="278" t="n"/>
      <c r="KAN74" s="278" t="n"/>
      <c r="KAO74" s="278" t="n"/>
      <c r="KAP74" s="278" t="n"/>
      <c r="KAQ74" s="278" t="n"/>
      <c r="KAR74" s="278" t="n"/>
      <c r="KAS74" s="278" t="n"/>
      <c r="KAT74" s="278" t="n"/>
      <c r="KAU74" s="278" t="n"/>
      <c r="KAV74" s="278" t="n"/>
      <c r="KAW74" s="278" t="n"/>
      <c r="KAX74" s="278" t="n"/>
      <c r="KAY74" s="278" t="n"/>
      <c r="KAZ74" s="278" t="n"/>
      <c r="KBA74" s="278" t="n"/>
      <c r="KBB74" s="278" t="n"/>
      <c r="KBC74" s="278" t="n"/>
      <c r="KBD74" s="278" t="n"/>
      <c r="KBE74" s="278" t="n"/>
      <c r="KBF74" s="278" t="n"/>
      <c r="KBG74" s="278" t="n"/>
      <c r="KBH74" s="278" t="n"/>
      <c r="KBI74" s="278" t="n"/>
      <c r="KBJ74" s="278" t="n"/>
      <c r="KBK74" s="278" t="n"/>
      <c r="KBL74" s="278" t="n"/>
      <c r="KBM74" s="278" t="n"/>
      <c r="KBN74" s="278" t="n"/>
      <c r="KBO74" s="278" t="n"/>
      <c r="KBP74" s="278" t="n"/>
      <c r="KBQ74" s="278" t="n"/>
      <c r="KBR74" s="278" t="n"/>
      <c r="KBS74" s="278" t="n"/>
      <c r="KBT74" s="278" t="n"/>
      <c r="KBU74" s="278" t="n"/>
      <c r="KBV74" s="278" t="n"/>
      <c r="KBW74" s="278" t="n"/>
      <c r="KBX74" s="278" t="n"/>
      <c r="KBY74" s="278" t="n"/>
      <c r="KBZ74" s="278" t="n"/>
      <c r="KCA74" s="278" t="n"/>
      <c r="KCB74" s="278" t="n"/>
      <c r="KCC74" s="278" t="n"/>
      <c r="KCD74" s="278" t="n"/>
      <c r="KCE74" s="278" t="n"/>
      <c r="KCF74" s="278" t="n"/>
      <c r="KCG74" s="278" t="n"/>
      <c r="KCH74" s="278" t="n"/>
      <c r="KCI74" s="278" t="n"/>
      <c r="KCJ74" s="278" t="n"/>
      <c r="KCK74" s="278" t="n"/>
      <c r="KCL74" s="278" t="n"/>
      <c r="KCM74" s="278" t="n"/>
      <c r="KCN74" s="278" t="n"/>
      <c r="KCO74" s="278" t="n"/>
      <c r="KCP74" s="278" t="n"/>
      <c r="KCQ74" s="278" t="n"/>
      <c r="KCR74" s="278" t="n"/>
      <c r="KCS74" s="278" t="n"/>
      <c r="KCT74" s="278" t="n"/>
      <c r="KCU74" s="278" t="n"/>
      <c r="KCV74" s="278" t="n"/>
      <c r="KCW74" s="278" t="n"/>
      <c r="KCX74" s="278" t="n"/>
      <c r="KCY74" s="278" t="n"/>
      <c r="KCZ74" s="278" t="n"/>
      <c r="KDA74" s="278" t="n"/>
      <c r="KDB74" s="278" t="n"/>
      <c r="KDC74" s="278" t="n"/>
      <c r="KDD74" s="278" t="n"/>
      <c r="KDE74" s="278" t="n"/>
      <c r="KDF74" s="278" t="n"/>
      <c r="KDG74" s="278" t="n"/>
      <c r="KDH74" s="278" t="n"/>
      <c r="KDI74" s="278" t="n"/>
      <c r="KDJ74" s="278" t="n"/>
      <c r="KDK74" s="278" t="n"/>
      <c r="KDL74" s="278" t="n"/>
      <c r="KDM74" s="278" t="n"/>
      <c r="KDN74" s="278" t="n"/>
      <c r="KDO74" s="278" t="n"/>
      <c r="KDP74" s="278" t="n"/>
      <c r="KDQ74" s="278" t="n"/>
      <c r="KDR74" s="278" t="n"/>
      <c r="KDS74" s="278" t="n"/>
      <c r="KDT74" s="278" t="n"/>
      <c r="KDU74" s="278" t="n"/>
      <c r="KDV74" s="278" t="n"/>
      <c r="KDW74" s="278" t="n"/>
      <c r="KDX74" s="278" t="n"/>
      <c r="KDY74" s="278" t="n"/>
      <c r="KDZ74" s="278" t="n"/>
      <c r="KEA74" s="278" t="n"/>
      <c r="KEB74" s="278" t="n"/>
      <c r="KEC74" s="278" t="n"/>
      <c r="KED74" s="278" t="n"/>
      <c r="KEE74" s="278" t="n"/>
      <c r="KEF74" s="278" t="n"/>
      <c r="KEG74" s="278" t="n"/>
      <c r="KEH74" s="278" t="n"/>
      <c r="KEI74" s="278" t="n"/>
      <c r="KEJ74" s="278" t="n"/>
      <c r="KEK74" s="278" t="n"/>
      <c r="KEL74" s="278" t="n"/>
      <c r="KEM74" s="278" t="n"/>
      <c r="KEN74" s="278" t="n"/>
      <c r="KEO74" s="278" t="n"/>
      <c r="KEP74" s="278" t="n"/>
      <c r="KEQ74" s="278" t="n"/>
      <c r="KER74" s="278" t="n"/>
      <c r="KES74" s="278" t="n"/>
      <c r="KET74" s="278" t="n"/>
      <c r="KEU74" s="278" t="n"/>
      <c r="KEV74" s="278" t="n"/>
      <c r="KEW74" s="278" t="n"/>
      <c r="KEX74" s="278" t="n"/>
      <c r="KEY74" s="278" t="n"/>
      <c r="KEZ74" s="278" t="n"/>
      <c r="KFA74" s="278" t="n"/>
      <c r="KFB74" s="278" t="n"/>
      <c r="KFC74" s="278" t="n"/>
      <c r="KFD74" s="278" t="n"/>
      <c r="KFE74" s="278" t="n"/>
      <c r="KFF74" s="278" t="n"/>
      <c r="KFG74" s="278" t="n"/>
      <c r="KFH74" s="278" t="n"/>
      <c r="KFI74" s="278" t="n"/>
      <c r="KFJ74" s="278" t="n"/>
      <c r="KFK74" s="278" t="n"/>
      <c r="KFL74" s="278" t="n"/>
      <c r="KFM74" s="278" t="n"/>
      <c r="KFN74" s="278" t="n"/>
      <c r="KFO74" s="278" t="n"/>
      <c r="KFP74" s="278" t="n"/>
      <c r="KFQ74" s="278" t="n"/>
      <c r="KFR74" s="278" t="n"/>
      <c r="KFS74" s="278" t="n"/>
      <c r="KFT74" s="278" t="n"/>
      <c r="KFU74" s="278" t="n"/>
      <c r="KFV74" s="278" t="n"/>
      <c r="KFW74" s="278" t="n"/>
      <c r="KFX74" s="278" t="n"/>
      <c r="KFY74" s="278" t="n"/>
      <c r="KFZ74" s="278" t="n"/>
      <c r="KGA74" s="278" t="n"/>
      <c r="KGB74" s="278" t="n"/>
      <c r="KGC74" s="278" t="n"/>
      <c r="KGD74" s="278" t="n"/>
      <c r="KGE74" s="278" t="n"/>
      <c r="KGF74" s="278" t="n"/>
      <c r="KGG74" s="278" t="n"/>
      <c r="KGH74" s="278" t="n"/>
      <c r="KGI74" s="278" t="n"/>
      <c r="KGJ74" s="278" t="n"/>
      <c r="KGK74" s="278" t="n"/>
      <c r="KGL74" s="278" t="n"/>
      <c r="KGM74" s="278" t="n"/>
      <c r="KGN74" s="278" t="n"/>
      <c r="KGO74" s="278" t="n"/>
      <c r="KGP74" s="278" t="n"/>
      <c r="KGQ74" s="278" t="n"/>
      <c r="KGR74" s="278" t="n"/>
      <c r="KGS74" s="278" t="n"/>
      <c r="KGT74" s="278" t="n"/>
      <c r="KGU74" s="278" t="n"/>
      <c r="KGV74" s="278" t="n"/>
      <c r="KGW74" s="278" t="n"/>
      <c r="KGX74" s="278" t="n"/>
      <c r="KGY74" s="278" t="n"/>
      <c r="KGZ74" s="278" t="n"/>
      <c r="KHA74" s="278" t="n"/>
      <c r="KHB74" s="278" t="n"/>
      <c r="KHC74" s="278" t="n"/>
      <c r="KHD74" s="278" t="n"/>
      <c r="KHE74" s="278" t="n"/>
      <c r="KHF74" s="278" t="n"/>
      <c r="KHG74" s="278" t="n"/>
      <c r="KHH74" s="278" t="n"/>
      <c r="KHI74" s="278" t="n"/>
      <c r="KHJ74" s="278" t="n"/>
      <c r="KHK74" s="278" t="n"/>
      <c r="KHL74" s="278" t="n"/>
      <c r="KHM74" s="278" t="n"/>
      <c r="KHN74" s="278" t="n"/>
      <c r="KHO74" s="278" t="n"/>
      <c r="KHP74" s="278" t="n"/>
      <c r="KHQ74" s="278" t="n"/>
      <c r="KHR74" s="278" t="n"/>
      <c r="KHS74" s="278" t="n"/>
      <c r="KHT74" s="278" t="n"/>
      <c r="KHU74" s="278" t="n"/>
      <c r="KHV74" s="278" t="n"/>
      <c r="KHW74" s="278" t="n"/>
      <c r="KHX74" s="278" t="n"/>
      <c r="KHY74" s="278" t="n"/>
      <c r="KHZ74" s="278" t="n"/>
      <c r="KIA74" s="278" t="n"/>
      <c r="KIB74" s="278" t="n"/>
      <c r="KIC74" s="278" t="n"/>
      <c r="KID74" s="278" t="n"/>
      <c r="KIE74" s="278" t="n"/>
      <c r="KIF74" s="278" t="n"/>
      <c r="KIG74" s="278" t="n"/>
      <c r="KIH74" s="278" t="n"/>
      <c r="KII74" s="278" t="n"/>
      <c r="KIJ74" s="278" t="n"/>
      <c r="KIK74" s="278" t="n"/>
      <c r="KIL74" s="278" t="n"/>
      <c r="KIM74" s="278" t="n"/>
      <c r="KIN74" s="278" t="n"/>
      <c r="KIO74" s="278" t="n"/>
      <c r="KIP74" s="278" t="n"/>
      <c r="KIQ74" s="278" t="n"/>
      <c r="KIR74" s="278" t="n"/>
      <c r="KIS74" s="278" t="n"/>
      <c r="KIT74" s="278" t="n"/>
      <c r="KIU74" s="278" t="n"/>
      <c r="KIV74" s="278" t="n"/>
      <c r="KIW74" s="278" t="n"/>
      <c r="KIX74" s="278" t="n"/>
      <c r="KIY74" s="278" t="n"/>
      <c r="KIZ74" s="278" t="n"/>
      <c r="KJA74" s="278" t="n"/>
      <c r="KJB74" s="278" t="n"/>
      <c r="KJC74" s="278" t="n"/>
      <c r="KJD74" s="278" t="n"/>
      <c r="KJE74" s="278" t="n"/>
      <c r="KJF74" s="278" t="n"/>
      <c r="KJG74" s="278" t="n"/>
      <c r="KJH74" s="278" t="n"/>
      <c r="KJI74" s="278" t="n"/>
      <c r="KJJ74" s="278" t="n"/>
      <c r="KJK74" s="278" t="n"/>
      <c r="KJL74" s="278" t="n"/>
      <c r="KJM74" s="278" t="n"/>
      <c r="KJN74" s="278" t="n"/>
      <c r="KJO74" s="278" t="n"/>
      <c r="KJP74" s="278" t="n"/>
      <c r="KJQ74" s="278" t="n"/>
      <c r="KJR74" s="278" t="n"/>
      <c r="KJS74" s="278" t="n"/>
      <c r="KJT74" s="278" t="n"/>
      <c r="KJU74" s="278" t="n"/>
      <c r="KJV74" s="278" t="n"/>
      <c r="KJW74" s="278" t="n"/>
      <c r="KJX74" s="278" t="n"/>
      <c r="KJY74" s="278" t="n"/>
      <c r="KJZ74" s="278" t="n"/>
      <c r="KKA74" s="278" t="n"/>
      <c r="KKB74" s="278" t="n"/>
      <c r="KKC74" s="278" t="n"/>
      <c r="KKD74" s="278" t="n"/>
      <c r="KKE74" s="278" t="n"/>
      <c r="KKF74" s="278" t="n"/>
      <c r="KKG74" s="278" t="n"/>
      <c r="KKH74" s="278" t="n"/>
      <c r="KKI74" s="278" t="n"/>
      <c r="KKJ74" s="278" t="n"/>
      <c r="KKK74" s="278" t="n"/>
      <c r="KKL74" s="278" t="n"/>
      <c r="KKM74" s="278" t="n"/>
      <c r="KKN74" s="278" t="n"/>
      <c r="KKO74" s="278" t="n"/>
      <c r="KKP74" s="278" t="n"/>
      <c r="KKQ74" s="278" t="n"/>
      <c r="KKR74" s="278" t="n"/>
      <c r="KKS74" s="278" t="n"/>
      <c r="KKT74" s="278" t="n"/>
      <c r="KKU74" s="278" t="n"/>
      <c r="KKV74" s="278" t="n"/>
      <c r="KKW74" s="278" t="n"/>
      <c r="KKX74" s="278" t="n"/>
      <c r="KKY74" s="278" t="n"/>
      <c r="KKZ74" s="278" t="n"/>
      <c r="KLA74" s="278" t="n"/>
      <c r="KLB74" s="278" t="n"/>
      <c r="KLC74" s="278" t="n"/>
      <c r="KLD74" s="278" t="n"/>
      <c r="KLE74" s="278" t="n"/>
      <c r="KLF74" s="278" t="n"/>
      <c r="KLG74" s="278" t="n"/>
      <c r="KLH74" s="278" t="n"/>
      <c r="KLI74" s="278" t="n"/>
      <c r="KLJ74" s="278" t="n"/>
      <c r="KLK74" s="278" t="n"/>
      <c r="KLL74" s="278" t="n"/>
      <c r="KLM74" s="278" t="n"/>
      <c r="KLN74" s="278" t="n"/>
      <c r="KLO74" s="278" t="n"/>
      <c r="KLP74" s="278" t="n"/>
      <c r="KLQ74" s="278" t="n"/>
      <c r="KLR74" s="278" t="n"/>
      <c r="KLS74" s="278" t="n"/>
      <c r="KLT74" s="278" t="n"/>
      <c r="KLU74" s="278" t="n"/>
      <c r="KLV74" s="278" t="n"/>
      <c r="KLW74" s="278" t="n"/>
      <c r="KLX74" s="278" t="n"/>
      <c r="KLY74" s="278" t="n"/>
      <c r="KLZ74" s="278" t="n"/>
      <c r="KMA74" s="278" t="n"/>
      <c r="KMB74" s="278" t="n"/>
      <c r="KMC74" s="278" t="n"/>
      <c r="KMD74" s="278" t="n"/>
      <c r="KME74" s="278" t="n"/>
      <c r="KMF74" s="278" t="n"/>
      <c r="KMG74" s="278" t="n"/>
      <c r="KMH74" s="278" t="n"/>
      <c r="KMI74" s="278" t="n"/>
      <c r="KMJ74" s="278" t="n"/>
      <c r="KMK74" s="278" t="n"/>
      <c r="KML74" s="278" t="n"/>
      <c r="KMM74" s="278" t="n"/>
      <c r="KMN74" s="278" t="n"/>
      <c r="KMO74" s="278" t="n"/>
      <c r="KMP74" s="278" t="n"/>
      <c r="KMQ74" s="278" t="n"/>
      <c r="KMR74" s="278" t="n"/>
      <c r="KMS74" s="278" t="n"/>
      <c r="KMT74" s="278" t="n"/>
      <c r="KMU74" s="278" t="n"/>
      <c r="KMV74" s="278" t="n"/>
      <c r="KMW74" s="278" t="n"/>
      <c r="KMX74" s="278" t="n"/>
      <c r="KMY74" s="278" t="n"/>
      <c r="KMZ74" s="278" t="n"/>
      <c r="KNA74" s="278" t="n"/>
      <c r="KNB74" s="278" t="n"/>
      <c r="KNC74" s="278" t="n"/>
      <c r="KND74" s="278" t="n"/>
      <c r="KNE74" s="278" t="n"/>
      <c r="KNF74" s="278" t="n"/>
      <c r="KNG74" s="278" t="n"/>
      <c r="KNH74" s="278" t="n"/>
      <c r="KNI74" s="278" t="n"/>
      <c r="KNJ74" s="278" t="n"/>
      <c r="KNK74" s="278" t="n"/>
      <c r="KNL74" s="278" t="n"/>
      <c r="KNM74" s="278" t="n"/>
      <c r="KNN74" s="278" t="n"/>
      <c r="KNO74" s="278" t="n"/>
      <c r="KNP74" s="278" t="n"/>
      <c r="KNQ74" s="278" t="n"/>
      <c r="KNR74" s="278" t="n"/>
      <c r="KNS74" s="278" t="n"/>
      <c r="KNT74" s="278" t="n"/>
      <c r="KNU74" s="278" t="n"/>
      <c r="KNV74" s="278" t="n"/>
      <c r="KNW74" s="278" t="n"/>
      <c r="KNX74" s="278" t="n"/>
      <c r="KNY74" s="278" t="n"/>
      <c r="KNZ74" s="278" t="n"/>
      <c r="KOA74" s="278" t="n"/>
      <c r="KOB74" s="278" t="n"/>
      <c r="KOC74" s="278" t="n"/>
      <c r="KOD74" s="278" t="n"/>
      <c r="KOE74" s="278" t="n"/>
      <c r="KOF74" s="278" t="n"/>
      <c r="KOG74" s="278" t="n"/>
      <c r="KOH74" s="278" t="n"/>
      <c r="KOI74" s="278" t="n"/>
      <c r="KOJ74" s="278" t="n"/>
      <c r="KOK74" s="278" t="n"/>
      <c r="KOL74" s="278" t="n"/>
      <c r="KOM74" s="278" t="n"/>
      <c r="KON74" s="278" t="n"/>
      <c r="KOO74" s="278" t="n"/>
      <c r="KOP74" s="278" t="n"/>
      <c r="KOQ74" s="278" t="n"/>
      <c r="KOR74" s="278" t="n"/>
      <c r="KOS74" s="278" t="n"/>
      <c r="KOT74" s="278" t="n"/>
      <c r="KOU74" s="278" t="n"/>
      <c r="KOV74" s="278" t="n"/>
      <c r="KOW74" s="278" t="n"/>
      <c r="KOX74" s="278" t="n"/>
      <c r="KOY74" s="278" t="n"/>
      <c r="KOZ74" s="278" t="n"/>
      <c r="KPA74" s="278" t="n"/>
      <c r="KPB74" s="278" t="n"/>
      <c r="KPC74" s="278" t="n"/>
      <c r="KPD74" s="278" t="n"/>
      <c r="KPE74" s="278" t="n"/>
      <c r="KPF74" s="278" t="n"/>
      <c r="KPG74" s="278" t="n"/>
      <c r="KPH74" s="278" t="n"/>
      <c r="KPI74" s="278" t="n"/>
      <c r="KPJ74" s="278" t="n"/>
      <c r="KPK74" s="278" t="n"/>
      <c r="KPL74" s="278" t="n"/>
      <c r="KPM74" s="278" t="n"/>
      <c r="KPN74" s="278" t="n"/>
      <c r="KPO74" s="278" t="n"/>
      <c r="KPP74" s="278" t="n"/>
      <c r="KPQ74" s="278" t="n"/>
      <c r="KPR74" s="278" t="n"/>
      <c r="KPS74" s="278" t="n"/>
      <c r="KPT74" s="278" t="n"/>
      <c r="KPU74" s="278" t="n"/>
      <c r="KPV74" s="278" t="n"/>
      <c r="KPW74" s="278" t="n"/>
      <c r="KPX74" s="278" t="n"/>
      <c r="KPY74" s="278" t="n"/>
      <c r="KPZ74" s="278" t="n"/>
      <c r="KQA74" s="278" t="n"/>
      <c r="KQB74" s="278" t="n"/>
      <c r="KQC74" s="278" t="n"/>
      <c r="KQD74" s="278" t="n"/>
      <c r="KQE74" s="278" t="n"/>
      <c r="KQF74" s="278" t="n"/>
      <c r="KQG74" s="278" t="n"/>
      <c r="KQH74" s="278" t="n"/>
      <c r="KQI74" s="278" t="n"/>
      <c r="KQJ74" s="278" t="n"/>
      <c r="KQK74" s="278" t="n"/>
      <c r="KQL74" s="278" t="n"/>
      <c r="KQM74" s="278" t="n"/>
      <c r="KQN74" s="278" t="n"/>
      <c r="KQO74" s="278" t="n"/>
      <c r="KQP74" s="278" t="n"/>
      <c r="KQQ74" s="278" t="n"/>
      <c r="KQR74" s="278" t="n"/>
      <c r="KQS74" s="278" t="n"/>
      <c r="KQT74" s="278" t="n"/>
      <c r="KQU74" s="278" t="n"/>
      <c r="KQV74" s="278" t="n"/>
      <c r="KQW74" s="278" t="n"/>
      <c r="KQX74" s="278" t="n"/>
      <c r="KQY74" s="278" t="n"/>
      <c r="KQZ74" s="278" t="n"/>
      <c r="KRA74" s="278" t="n"/>
      <c r="KRB74" s="278" t="n"/>
      <c r="KRC74" s="278" t="n"/>
      <c r="KRD74" s="278" t="n"/>
      <c r="KRE74" s="278" t="n"/>
      <c r="KRF74" s="278" t="n"/>
      <c r="KRG74" s="278" t="n"/>
      <c r="KRH74" s="278" t="n"/>
      <c r="KRI74" s="278" t="n"/>
      <c r="KRJ74" s="278" t="n"/>
      <c r="KRK74" s="278" t="n"/>
      <c r="KRL74" s="278" t="n"/>
      <c r="KRM74" s="278" t="n"/>
      <c r="KRN74" s="278" t="n"/>
      <c r="KRO74" s="278" t="n"/>
      <c r="KRP74" s="278" t="n"/>
      <c r="KRQ74" s="278" t="n"/>
      <c r="KRR74" s="278" t="n"/>
      <c r="KRS74" s="278" t="n"/>
      <c r="KRT74" s="278" t="n"/>
      <c r="KRU74" s="278" t="n"/>
      <c r="KRV74" s="278" t="n"/>
      <c r="KRW74" s="278" t="n"/>
      <c r="KRX74" s="278" t="n"/>
      <c r="KRY74" s="278" t="n"/>
      <c r="KRZ74" s="278" t="n"/>
      <c r="KSA74" s="278" t="n"/>
      <c r="KSB74" s="278" t="n"/>
      <c r="KSC74" s="278" t="n"/>
      <c r="KSD74" s="278" t="n"/>
      <c r="KSE74" s="278" t="n"/>
      <c r="KSF74" s="278" t="n"/>
      <c r="KSG74" s="278" t="n"/>
      <c r="KSH74" s="278" t="n"/>
      <c r="KSI74" s="278" t="n"/>
      <c r="KSJ74" s="278" t="n"/>
      <c r="KSK74" s="278" t="n"/>
      <c r="KSL74" s="278" t="n"/>
      <c r="KSM74" s="278" t="n"/>
      <c r="KSN74" s="278" t="n"/>
      <c r="KSO74" s="278" t="n"/>
      <c r="KSP74" s="278" t="n"/>
      <c r="KSQ74" s="278" t="n"/>
      <c r="KSR74" s="278" t="n"/>
      <c r="KSS74" s="278" t="n"/>
      <c r="KST74" s="278" t="n"/>
      <c r="KSU74" s="278" t="n"/>
      <c r="KSV74" s="278" t="n"/>
      <c r="KSW74" s="278" t="n"/>
      <c r="KSX74" s="278" t="n"/>
      <c r="KSY74" s="278" t="n"/>
      <c r="KSZ74" s="278" t="n"/>
      <c r="KTA74" s="278" t="n"/>
      <c r="KTB74" s="278" t="n"/>
      <c r="KTC74" s="278" t="n"/>
      <c r="KTD74" s="278" t="n"/>
      <c r="KTE74" s="278" t="n"/>
      <c r="KTF74" s="278" t="n"/>
      <c r="KTG74" s="278" t="n"/>
      <c r="KTH74" s="278" t="n"/>
      <c r="KTI74" s="278" t="n"/>
      <c r="KTJ74" s="278" t="n"/>
      <c r="KTK74" s="278" t="n"/>
      <c r="KTL74" s="278" t="n"/>
      <c r="KTM74" s="278" t="n"/>
      <c r="KTN74" s="278" t="n"/>
      <c r="KTO74" s="278" t="n"/>
      <c r="KTP74" s="278" t="n"/>
      <c r="KTQ74" s="278" t="n"/>
      <c r="KTR74" s="278" t="n"/>
      <c r="KTS74" s="278" t="n"/>
      <c r="KTT74" s="278" t="n"/>
      <c r="KTU74" s="278" t="n"/>
      <c r="KTV74" s="278" t="n"/>
      <c r="KTW74" s="278" t="n"/>
      <c r="KTX74" s="278" t="n"/>
      <c r="KTY74" s="278" t="n"/>
      <c r="KTZ74" s="278" t="n"/>
      <c r="KUA74" s="278" t="n"/>
      <c r="KUB74" s="278" t="n"/>
      <c r="KUC74" s="278" t="n"/>
      <c r="KUD74" s="278" t="n"/>
      <c r="KUE74" s="278" t="n"/>
      <c r="KUF74" s="278" t="n"/>
      <c r="KUG74" s="278" t="n"/>
      <c r="KUH74" s="278" t="n"/>
      <c r="KUI74" s="278" t="n"/>
      <c r="KUJ74" s="278" t="n"/>
      <c r="KUK74" s="278" t="n"/>
      <c r="KUL74" s="278" t="n"/>
      <c r="KUM74" s="278" t="n"/>
      <c r="KUN74" s="278" t="n"/>
      <c r="KUO74" s="278" t="n"/>
      <c r="KUP74" s="278" t="n"/>
      <c r="KUQ74" s="278" t="n"/>
      <c r="KUR74" s="278" t="n"/>
      <c r="KUS74" s="278" t="n"/>
      <c r="KUT74" s="278" t="n"/>
      <c r="KUU74" s="278" t="n"/>
      <c r="KUV74" s="278" t="n"/>
      <c r="KUW74" s="278" t="n"/>
      <c r="KUX74" s="278" t="n"/>
      <c r="KUY74" s="278" t="n"/>
      <c r="KUZ74" s="278" t="n"/>
      <c r="KVA74" s="278" t="n"/>
      <c r="KVB74" s="278" t="n"/>
      <c r="KVC74" s="278" t="n"/>
      <c r="KVD74" s="278" t="n"/>
      <c r="KVE74" s="278" t="n"/>
      <c r="KVF74" s="278" t="n"/>
      <c r="KVG74" s="278" t="n"/>
      <c r="KVH74" s="278" t="n"/>
      <c r="KVI74" s="278" t="n"/>
      <c r="KVJ74" s="278" t="n"/>
      <c r="KVK74" s="278" t="n"/>
      <c r="KVL74" s="278" t="n"/>
      <c r="KVM74" s="278" t="n"/>
      <c r="KVN74" s="278" t="n"/>
      <c r="KVO74" s="278" t="n"/>
      <c r="KVP74" s="278" t="n"/>
      <c r="KVQ74" s="278" t="n"/>
      <c r="KVR74" s="278" t="n"/>
      <c r="KVS74" s="278" t="n"/>
      <c r="KVT74" s="278" t="n"/>
      <c r="KVU74" s="278" t="n"/>
      <c r="KVV74" s="278" t="n"/>
      <c r="KVW74" s="278" t="n"/>
      <c r="KVX74" s="278" t="n"/>
      <c r="KVY74" s="278" t="n"/>
      <c r="KVZ74" s="278" t="n"/>
      <c r="KWA74" s="278" t="n"/>
      <c r="KWB74" s="278" t="n"/>
      <c r="KWC74" s="278" t="n"/>
      <c r="KWD74" s="278" t="n"/>
      <c r="KWE74" s="278" t="n"/>
      <c r="KWF74" s="278" t="n"/>
      <c r="KWG74" s="278" t="n"/>
      <c r="KWH74" s="278" t="n"/>
      <c r="KWI74" s="278" t="n"/>
      <c r="KWJ74" s="278" t="n"/>
      <c r="KWK74" s="278" t="n"/>
      <c r="KWL74" s="278" t="n"/>
      <c r="KWM74" s="278" t="n"/>
      <c r="KWN74" s="278" t="n"/>
      <c r="KWO74" s="278" t="n"/>
      <c r="KWP74" s="278" t="n"/>
      <c r="KWQ74" s="278" t="n"/>
      <c r="KWR74" s="278" t="n"/>
      <c r="KWS74" s="278" t="n"/>
      <c r="KWT74" s="278" t="n"/>
      <c r="KWU74" s="278" t="n"/>
      <c r="KWV74" s="278" t="n"/>
      <c r="KWW74" s="278" t="n"/>
      <c r="KWX74" s="278" t="n"/>
      <c r="KWY74" s="278" t="n"/>
      <c r="KWZ74" s="278" t="n"/>
      <c r="KXA74" s="278" t="n"/>
      <c r="KXB74" s="278" t="n"/>
      <c r="KXC74" s="278" t="n"/>
      <c r="KXD74" s="278" t="n"/>
      <c r="KXE74" s="278" t="n"/>
      <c r="KXF74" s="278" t="n"/>
      <c r="KXG74" s="278" t="n"/>
      <c r="KXH74" s="278" t="n"/>
      <c r="KXI74" s="278" t="n"/>
      <c r="KXJ74" s="278" t="n"/>
      <c r="KXK74" s="278" t="n"/>
      <c r="KXL74" s="278" t="n"/>
      <c r="KXM74" s="278" t="n"/>
      <c r="KXN74" s="278" t="n"/>
      <c r="KXO74" s="278" t="n"/>
      <c r="KXP74" s="278" t="n"/>
      <c r="KXQ74" s="278" t="n"/>
      <c r="KXR74" s="278" t="n"/>
      <c r="KXS74" s="278" t="n"/>
      <c r="KXT74" s="278" t="n"/>
      <c r="KXU74" s="278" t="n"/>
      <c r="KXV74" s="278" t="n"/>
      <c r="KXW74" s="278" t="n"/>
      <c r="KXX74" s="278" t="n"/>
      <c r="KXY74" s="278" t="n"/>
      <c r="KXZ74" s="278" t="n"/>
      <c r="KYA74" s="278" t="n"/>
      <c r="KYB74" s="278" t="n"/>
      <c r="KYC74" s="278" t="n"/>
      <c r="KYD74" s="278" t="n"/>
      <c r="KYE74" s="278" t="n"/>
      <c r="KYF74" s="278" t="n"/>
      <c r="KYG74" s="278" t="n"/>
      <c r="KYH74" s="278" t="n"/>
      <c r="KYI74" s="278" t="n"/>
      <c r="KYJ74" s="278" t="n"/>
      <c r="KYK74" s="278" t="n"/>
      <c r="KYL74" s="278" t="n"/>
      <c r="KYM74" s="278" t="n"/>
      <c r="KYN74" s="278" t="n"/>
      <c r="KYO74" s="278" t="n"/>
      <c r="KYP74" s="278" t="n"/>
      <c r="KYQ74" s="278" t="n"/>
      <c r="KYR74" s="278" t="n"/>
      <c r="KYS74" s="278" t="n"/>
      <c r="KYT74" s="278" t="n"/>
      <c r="KYU74" s="278" t="n"/>
      <c r="KYV74" s="278" t="n"/>
      <c r="KYW74" s="278" t="n"/>
      <c r="KYX74" s="278" t="n"/>
      <c r="KYY74" s="278" t="n"/>
      <c r="KYZ74" s="278" t="n"/>
      <c r="KZA74" s="278" t="n"/>
      <c r="KZB74" s="278" t="n"/>
      <c r="KZC74" s="278" t="n"/>
      <c r="KZD74" s="278" t="n"/>
      <c r="KZE74" s="278" t="n"/>
      <c r="KZF74" s="278" t="n"/>
      <c r="KZG74" s="278" t="n"/>
      <c r="KZH74" s="278" t="n"/>
      <c r="KZI74" s="278" t="n"/>
      <c r="KZJ74" s="278" t="n"/>
      <c r="KZK74" s="278" t="n"/>
      <c r="KZL74" s="278" t="n"/>
      <c r="KZM74" s="278" t="n"/>
      <c r="KZN74" s="278" t="n"/>
      <c r="KZO74" s="278" t="n"/>
      <c r="KZP74" s="278" t="n"/>
      <c r="KZQ74" s="278" t="n"/>
      <c r="KZR74" s="278" t="n"/>
      <c r="KZS74" s="278" t="n"/>
      <c r="KZT74" s="278" t="n"/>
      <c r="KZU74" s="278" t="n"/>
      <c r="KZV74" s="278" t="n"/>
      <c r="KZW74" s="278" t="n"/>
      <c r="KZX74" s="278" t="n"/>
      <c r="KZY74" s="278" t="n"/>
      <c r="KZZ74" s="278" t="n"/>
      <c r="LAA74" s="278" t="n"/>
      <c r="LAB74" s="278" t="n"/>
      <c r="LAC74" s="278" t="n"/>
      <c r="LAD74" s="278" t="n"/>
      <c r="LAE74" s="278" t="n"/>
      <c r="LAF74" s="278" t="n"/>
      <c r="LAG74" s="278" t="n"/>
      <c r="LAH74" s="278" t="n"/>
      <c r="LAI74" s="278" t="n"/>
      <c r="LAJ74" s="278" t="n"/>
      <c r="LAK74" s="278" t="n"/>
      <c r="LAL74" s="278" t="n"/>
      <c r="LAM74" s="278" t="n"/>
      <c r="LAN74" s="278" t="n"/>
      <c r="LAO74" s="278" t="n"/>
      <c r="LAP74" s="278" t="n"/>
      <c r="LAQ74" s="278" t="n"/>
      <c r="LAR74" s="278" t="n"/>
      <c r="LAS74" s="278" t="n"/>
      <c r="LAT74" s="278" t="n"/>
      <c r="LAU74" s="278" t="n"/>
      <c r="LAV74" s="278" t="n"/>
      <c r="LAW74" s="278" t="n"/>
      <c r="LAX74" s="278" t="n"/>
      <c r="LAY74" s="278" t="n"/>
      <c r="LAZ74" s="278" t="n"/>
      <c r="LBA74" s="278" t="n"/>
      <c r="LBB74" s="278" t="n"/>
      <c r="LBC74" s="278" t="n"/>
      <c r="LBD74" s="278" t="n"/>
      <c r="LBE74" s="278" t="n"/>
      <c r="LBF74" s="278" t="n"/>
      <c r="LBG74" s="278" t="n"/>
      <c r="LBH74" s="278" t="n"/>
      <c r="LBI74" s="278" t="n"/>
      <c r="LBJ74" s="278" t="n"/>
      <c r="LBK74" s="278" t="n"/>
      <c r="LBL74" s="278" t="n"/>
      <c r="LBM74" s="278" t="n"/>
      <c r="LBN74" s="278" t="n"/>
      <c r="LBO74" s="278" t="n"/>
      <c r="LBP74" s="278" t="n"/>
      <c r="LBQ74" s="278" t="n"/>
      <c r="LBR74" s="278" t="n"/>
      <c r="LBS74" s="278" t="n"/>
      <c r="LBT74" s="278" t="n"/>
      <c r="LBU74" s="278" t="n"/>
      <c r="LBV74" s="278" t="n"/>
      <c r="LBW74" s="278" t="n"/>
      <c r="LBX74" s="278" t="n"/>
      <c r="LBY74" s="278" t="n"/>
      <c r="LBZ74" s="278" t="n"/>
      <c r="LCA74" s="278" t="n"/>
      <c r="LCB74" s="278" t="n"/>
      <c r="LCC74" s="278" t="n"/>
      <c r="LCD74" s="278" t="n"/>
      <c r="LCE74" s="278" t="n"/>
      <c r="LCF74" s="278" t="n"/>
      <c r="LCG74" s="278" t="n"/>
      <c r="LCH74" s="278" t="n"/>
      <c r="LCI74" s="278" t="n"/>
      <c r="LCJ74" s="278" t="n"/>
      <c r="LCK74" s="278" t="n"/>
      <c r="LCL74" s="278" t="n"/>
      <c r="LCM74" s="278" t="n"/>
      <c r="LCN74" s="278" t="n"/>
      <c r="LCO74" s="278" t="n"/>
      <c r="LCP74" s="278" t="n"/>
      <c r="LCQ74" s="278" t="n"/>
      <c r="LCR74" s="278" t="n"/>
      <c r="LCS74" s="278" t="n"/>
      <c r="LCT74" s="278" t="n"/>
      <c r="LCU74" s="278" t="n"/>
      <c r="LCV74" s="278" t="n"/>
      <c r="LCW74" s="278" t="n"/>
      <c r="LCX74" s="278" t="n"/>
      <c r="LCY74" s="278" t="n"/>
      <c r="LCZ74" s="278" t="n"/>
      <c r="LDA74" s="278" t="n"/>
      <c r="LDB74" s="278" t="n"/>
      <c r="LDC74" s="278" t="n"/>
      <c r="LDD74" s="278" t="n"/>
      <c r="LDE74" s="278" t="n"/>
      <c r="LDF74" s="278" t="n"/>
      <c r="LDG74" s="278" t="n"/>
      <c r="LDH74" s="278" t="n"/>
      <c r="LDI74" s="278" t="n"/>
      <c r="LDJ74" s="278" t="n"/>
      <c r="LDK74" s="278" t="n"/>
      <c r="LDL74" s="278" t="n"/>
      <c r="LDM74" s="278" t="n"/>
      <c r="LDN74" s="278" t="n"/>
      <c r="LDO74" s="278" t="n"/>
      <c r="LDP74" s="278" t="n"/>
      <c r="LDQ74" s="278" t="n"/>
      <c r="LDR74" s="278" t="n"/>
      <c r="LDS74" s="278" t="n"/>
      <c r="LDT74" s="278" t="n"/>
      <c r="LDU74" s="278" t="n"/>
      <c r="LDV74" s="278" t="n"/>
      <c r="LDW74" s="278" t="n"/>
      <c r="LDX74" s="278" t="n"/>
      <c r="LDY74" s="278" t="n"/>
      <c r="LDZ74" s="278" t="n"/>
      <c r="LEA74" s="278" t="n"/>
      <c r="LEB74" s="278" t="n"/>
      <c r="LEC74" s="278" t="n"/>
      <c r="LED74" s="278" t="n"/>
      <c r="LEE74" s="278" t="n"/>
      <c r="LEF74" s="278" t="n"/>
      <c r="LEG74" s="278" t="n"/>
      <c r="LEH74" s="278" t="n"/>
      <c r="LEI74" s="278" t="n"/>
      <c r="LEJ74" s="278" t="n"/>
      <c r="LEK74" s="278" t="n"/>
      <c r="LEL74" s="278" t="n"/>
      <c r="LEM74" s="278" t="n"/>
      <c r="LEN74" s="278" t="n"/>
      <c r="LEO74" s="278" t="n"/>
      <c r="LEP74" s="278" t="n"/>
      <c r="LEQ74" s="278" t="n"/>
      <c r="LER74" s="278" t="n"/>
      <c r="LES74" s="278" t="n"/>
      <c r="LET74" s="278" t="n"/>
      <c r="LEU74" s="278" t="n"/>
      <c r="LEV74" s="278" t="n"/>
      <c r="LEW74" s="278" t="n"/>
      <c r="LEX74" s="278" t="n"/>
      <c r="LEY74" s="278" t="n"/>
      <c r="LEZ74" s="278" t="n"/>
      <c r="LFA74" s="278" t="n"/>
      <c r="LFB74" s="278" t="n"/>
      <c r="LFC74" s="278" t="n"/>
      <c r="LFD74" s="278" t="n"/>
      <c r="LFE74" s="278" t="n"/>
      <c r="LFF74" s="278" t="n"/>
      <c r="LFG74" s="278" t="n"/>
      <c r="LFH74" s="278" t="n"/>
      <c r="LFI74" s="278" t="n"/>
      <c r="LFJ74" s="278" t="n"/>
      <c r="LFK74" s="278" t="n"/>
      <c r="LFL74" s="278" t="n"/>
      <c r="LFM74" s="278" t="n"/>
      <c r="LFN74" s="278" t="n"/>
      <c r="LFO74" s="278" t="n"/>
      <c r="LFP74" s="278" t="n"/>
      <c r="LFQ74" s="278" t="n"/>
      <c r="LFR74" s="278" t="n"/>
      <c r="LFS74" s="278" t="n"/>
      <c r="LFT74" s="278" t="n"/>
      <c r="LFU74" s="278" t="n"/>
      <c r="LFV74" s="278" t="n"/>
      <c r="LFW74" s="278" t="n"/>
      <c r="LFX74" s="278" t="n"/>
      <c r="LFY74" s="278" t="n"/>
      <c r="LFZ74" s="278" t="n"/>
      <c r="LGA74" s="278" t="n"/>
      <c r="LGB74" s="278" t="n"/>
      <c r="LGC74" s="278" t="n"/>
      <c r="LGD74" s="278" t="n"/>
      <c r="LGE74" s="278" t="n"/>
      <c r="LGF74" s="278" t="n"/>
      <c r="LGG74" s="278" t="n"/>
      <c r="LGH74" s="278" t="n"/>
      <c r="LGI74" s="278" t="n"/>
      <c r="LGJ74" s="278" t="n"/>
      <c r="LGK74" s="278" t="n"/>
      <c r="LGL74" s="278" t="n"/>
      <c r="LGM74" s="278" t="n"/>
      <c r="LGN74" s="278" t="n"/>
      <c r="LGO74" s="278" t="n"/>
      <c r="LGP74" s="278" t="n"/>
      <c r="LGQ74" s="278" t="n"/>
      <c r="LGR74" s="278" t="n"/>
      <c r="LGS74" s="278" t="n"/>
      <c r="LGT74" s="278" t="n"/>
      <c r="LGU74" s="278" t="n"/>
      <c r="LGV74" s="278" t="n"/>
      <c r="LGW74" s="278" t="n"/>
      <c r="LGX74" s="278" t="n"/>
      <c r="LGY74" s="278" t="n"/>
      <c r="LGZ74" s="278" t="n"/>
      <c r="LHA74" s="278" t="n"/>
      <c r="LHB74" s="278" t="n"/>
      <c r="LHC74" s="278" t="n"/>
      <c r="LHD74" s="278" t="n"/>
      <c r="LHE74" s="278" t="n"/>
      <c r="LHF74" s="278" t="n"/>
      <c r="LHG74" s="278" t="n"/>
      <c r="LHH74" s="278" t="n"/>
      <c r="LHI74" s="278" t="n"/>
      <c r="LHJ74" s="278" t="n"/>
      <c r="LHK74" s="278" t="n"/>
      <c r="LHL74" s="278" t="n"/>
      <c r="LHM74" s="278" t="n"/>
      <c r="LHN74" s="278" t="n"/>
      <c r="LHO74" s="278" t="n"/>
      <c r="LHP74" s="278" t="n"/>
      <c r="LHQ74" s="278" t="n"/>
      <c r="LHR74" s="278" t="n"/>
      <c r="LHS74" s="278" t="n"/>
      <c r="LHT74" s="278" t="n"/>
      <c r="LHU74" s="278" t="n"/>
      <c r="LHV74" s="278" t="n"/>
      <c r="LHW74" s="278" t="n"/>
      <c r="LHX74" s="278" t="n"/>
      <c r="LHY74" s="278" t="n"/>
      <c r="LHZ74" s="278" t="n"/>
      <c r="LIA74" s="278" t="n"/>
      <c r="LIB74" s="278" t="n"/>
      <c r="LIC74" s="278" t="n"/>
      <c r="LID74" s="278" t="n"/>
      <c r="LIE74" s="278" t="n"/>
      <c r="LIF74" s="278" t="n"/>
      <c r="LIG74" s="278" t="n"/>
      <c r="LIH74" s="278" t="n"/>
      <c r="LII74" s="278" t="n"/>
      <c r="LIJ74" s="278" t="n"/>
      <c r="LIK74" s="278" t="n"/>
      <c r="LIL74" s="278" t="n"/>
      <c r="LIM74" s="278" t="n"/>
      <c r="LIN74" s="278" t="n"/>
      <c r="LIO74" s="278" t="n"/>
      <c r="LIP74" s="278" t="n"/>
      <c r="LIQ74" s="278" t="n"/>
      <c r="LIR74" s="278" t="n"/>
      <c r="LIS74" s="278" t="n"/>
      <c r="LIT74" s="278" t="n"/>
      <c r="LIU74" s="278" t="n"/>
      <c r="LIV74" s="278" t="n"/>
      <c r="LIW74" s="278" t="n"/>
      <c r="LIX74" s="278" t="n"/>
      <c r="LIY74" s="278" t="n"/>
      <c r="LIZ74" s="278" t="n"/>
      <c r="LJA74" s="278" t="n"/>
      <c r="LJB74" s="278" t="n"/>
      <c r="LJC74" s="278" t="n"/>
      <c r="LJD74" s="278" t="n"/>
      <c r="LJE74" s="278" t="n"/>
      <c r="LJF74" s="278" t="n"/>
      <c r="LJG74" s="278" t="n"/>
      <c r="LJH74" s="278" t="n"/>
      <c r="LJI74" s="278" t="n"/>
      <c r="LJJ74" s="278" t="n"/>
      <c r="LJK74" s="278" t="n"/>
      <c r="LJL74" s="278" t="n"/>
      <c r="LJM74" s="278" t="n"/>
      <c r="LJN74" s="278" t="n"/>
      <c r="LJO74" s="278" t="n"/>
      <c r="LJP74" s="278" t="n"/>
      <c r="LJQ74" s="278" t="n"/>
      <c r="LJR74" s="278" t="n"/>
      <c r="LJS74" s="278" t="n"/>
      <c r="LJT74" s="278" t="n"/>
      <c r="LJU74" s="278" t="n"/>
      <c r="LJV74" s="278" t="n"/>
      <c r="LJW74" s="278" t="n"/>
      <c r="LJX74" s="278" t="n"/>
      <c r="LJY74" s="278" t="n"/>
      <c r="LJZ74" s="278" t="n"/>
      <c r="LKA74" s="278" t="n"/>
      <c r="LKB74" s="278" t="n"/>
      <c r="LKC74" s="278" t="n"/>
      <c r="LKD74" s="278" t="n"/>
      <c r="LKE74" s="278" t="n"/>
      <c r="LKF74" s="278" t="n"/>
      <c r="LKG74" s="278" t="n"/>
      <c r="LKH74" s="278" t="n"/>
      <c r="LKI74" s="278" t="n"/>
      <c r="LKJ74" s="278" t="n"/>
      <c r="LKK74" s="278" t="n"/>
      <c r="LKL74" s="278" t="n"/>
      <c r="LKM74" s="278" t="n"/>
      <c r="LKN74" s="278" t="n"/>
      <c r="LKO74" s="278" t="n"/>
      <c r="LKP74" s="278" t="n"/>
      <c r="LKQ74" s="278" t="n"/>
      <c r="LKR74" s="278" t="n"/>
      <c r="LKS74" s="278" t="n"/>
      <c r="LKT74" s="278" t="n"/>
      <c r="LKU74" s="278" t="n"/>
      <c r="LKV74" s="278" t="n"/>
      <c r="LKW74" s="278" t="n"/>
      <c r="LKX74" s="278" t="n"/>
      <c r="LKY74" s="278" t="n"/>
      <c r="LKZ74" s="278" t="n"/>
      <c r="LLA74" s="278" t="n"/>
      <c r="LLB74" s="278" t="n"/>
      <c r="LLC74" s="278" t="n"/>
      <c r="LLD74" s="278" t="n"/>
      <c r="LLE74" s="278" t="n"/>
      <c r="LLF74" s="278" t="n"/>
      <c r="LLG74" s="278" t="n"/>
      <c r="LLH74" s="278" t="n"/>
      <c r="LLI74" s="278" t="n"/>
      <c r="LLJ74" s="278" t="n"/>
      <c r="LLK74" s="278" t="n"/>
      <c r="LLL74" s="278" t="n"/>
      <c r="LLM74" s="278" t="n"/>
      <c r="LLN74" s="278" t="n"/>
      <c r="LLO74" s="278" t="n"/>
      <c r="LLP74" s="278" t="n"/>
      <c r="LLQ74" s="278" t="n"/>
      <c r="LLR74" s="278" t="n"/>
      <c r="LLS74" s="278" t="n"/>
      <c r="LLT74" s="278" t="n"/>
      <c r="LLU74" s="278" t="n"/>
      <c r="LLV74" s="278" t="n"/>
      <c r="LLW74" s="278" t="n"/>
      <c r="LLX74" s="278" t="n"/>
      <c r="LLY74" s="278" t="n"/>
      <c r="LLZ74" s="278" t="n"/>
      <c r="LMA74" s="278" t="n"/>
      <c r="LMB74" s="278" t="n"/>
      <c r="LMC74" s="278" t="n"/>
      <c r="LMD74" s="278" t="n"/>
      <c r="LME74" s="278" t="n"/>
      <c r="LMF74" s="278" t="n"/>
      <c r="LMG74" s="278" t="n"/>
      <c r="LMH74" s="278" t="n"/>
      <c r="LMI74" s="278" t="n"/>
      <c r="LMJ74" s="278" t="n"/>
      <c r="LMK74" s="278" t="n"/>
      <c r="LML74" s="278" t="n"/>
      <c r="LMM74" s="278" t="n"/>
      <c r="LMN74" s="278" t="n"/>
      <c r="LMO74" s="278" t="n"/>
      <c r="LMP74" s="278" t="n"/>
      <c r="LMQ74" s="278" t="n"/>
      <c r="LMR74" s="278" t="n"/>
      <c r="LMS74" s="278" t="n"/>
      <c r="LMT74" s="278" t="n"/>
      <c r="LMU74" s="278" t="n"/>
      <c r="LMV74" s="278" t="n"/>
      <c r="LMW74" s="278" t="n"/>
      <c r="LMX74" s="278" t="n"/>
      <c r="LMY74" s="278" t="n"/>
      <c r="LMZ74" s="278" t="n"/>
      <c r="LNA74" s="278" t="n"/>
      <c r="LNB74" s="278" t="n"/>
      <c r="LNC74" s="278" t="n"/>
      <c r="LND74" s="278" t="n"/>
      <c r="LNE74" s="278" t="n"/>
      <c r="LNF74" s="278" t="n"/>
      <c r="LNG74" s="278" t="n"/>
      <c r="LNH74" s="278" t="n"/>
      <c r="LNI74" s="278" t="n"/>
      <c r="LNJ74" s="278" t="n"/>
      <c r="LNK74" s="278" t="n"/>
      <c r="LNL74" s="278" t="n"/>
      <c r="LNM74" s="278" t="n"/>
      <c r="LNN74" s="278" t="n"/>
      <c r="LNO74" s="278" t="n"/>
      <c r="LNP74" s="278" t="n"/>
      <c r="LNQ74" s="278" t="n"/>
      <c r="LNR74" s="278" t="n"/>
      <c r="LNS74" s="278" t="n"/>
      <c r="LNT74" s="278" t="n"/>
      <c r="LNU74" s="278" t="n"/>
      <c r="LNV74" s="278" t="n"/>
      <c r="LNW74" s="278" t="n"/>
      <c r="LNX74" s="278" t="n"/>
      <c r="LNY74" s="278" t="n"/>
      <c r="LNZ74" s="278" t="n"/>
      <c r="LOA74" s="278" t="n"/>
      <c r="LOB74" s="278" t="n"/>
      <c r="LOC74" s="278" t="n"/>
      <c r="LOD74" s="278" t="n"/>
      <c r="LOE74" s="278" t="n"/>
      <c r="LOF74" s="278" t="n"/>
      <c r="LOG74" s="278" t="n"/>
      <c r="LOH74" s="278" t="n"/>
      <c r="LOI74" s="278" t="n"/>
      <c r="LOJ74" s="278" t="n"/>
      <c r="LOK74" s="278" t="n"/>
      <c r="LOL74" s="278" t="n"/>
      <c r="LOM74" s="278" t="n"/>
      <c r="LON74" s="278" t="n"/>
      <c r="LOO74" s="278" t="n"/>
      <c r="LOP74" s="278" t="n"/>
      <c r="LOQ74" s="278" t="n"/>
      <c r="LOR74" s="278" t="n"/>
      <c r="LOS74" s="278" t="n"/>
      <c r="LOT74" s="278" t="n"/>
      <c r="LOU74" s="278" t="n"/>
      <c r="LOV74" s="278" t="n"/>
      <c r="LOW74" s="278" t="n"/>
      <c r="LOX74" s="278" t="n"/>
      <c r="LOY74" s="278" t="n"/>
      <c r="LOZ74" s="278" t="n"/>
      <c r="LPA74" s="278" t="n"/>
      <c r="LPB74" s="278" t="n"/>
      <c r="LPC74" s="278" t="n"/>
      <c r="LPD74" s="278" t="n"/>
      <c r="LPE74" s="278" t="n"/>
      <c r="LPF74" s="278" t="n"/>
      <c r="LPG74" s="278" t="n"/>
      <c r="LPH74" s="278" t="n"/>
      <c r="LPI74" s="278" t="n"/>
      <c r="LPJ74" s="278" t="n"/>
      <c r="LPK74" s="278" t="n"/>
      <c r="LPL74" s="278" t="n"/>
      <c r="LPM74" s="278" t="n"/>
      <c r="LPN74" s="278" t="n"/>
      <c r="LPO74" s="278" t="n"/>
      <c r="LPP74" s="278" t="n"/>
      <c r="LPQ74" s="278" t="n"/>
      <c r="LPR74" s="278" t="n"/>
      <c r="LPS74" s="278" t="n"/>
      <c r="LPT74" s="278" t="n"/>
      <c r="LPU74" s="278" t="n"/>
      <c r="LPV74" s="278" t="n"/>
      <c r="LPW74" s="278" t="n"/>
      <c r="LPX74" s="278" t="n"/>
      <c r="LPY74" s="278" t="n"/>
      <c r="LPZ74" s="278" t="n"/>
      <c r="LQA74" s="278" t="n"/>
      <c r="LQB74" s="278" t="n"/>
      <c r="LQC74" s="278" t="n"/>
      <c r="LQD74" s="278" t="n"/>
      <c r="LQE74" s="278" t="n"/>
      <c r="LQF74" s="278" t="n"/>
      <c r="LQG74" s="278" t="n"/>
      <c r="LQH74" s="278" t="n"/>
      <c r="LQI74" s="278" t="n"/>
      <c r="LQJ74" s="278" t="n"/>
      <c r="LQK74" s="278" t="n"/>
      <c r="LQL74" s="278" t="n"/>
      <c r="LQM74" s="278" t="n"/>
      <c r="LQN74" s="278" t="n"/>
      <c r="LQO74" s="278" t="n"/>
      <c r="LQP74" s="278" t="n"/>
      <c r="LQQ74" s="278" t="n"/>
      <c r="LQR74" s="278" t="n"/>
      <c r="LQS74" s="278" t="n"/>
      <c r="LQT74" s="278" t="n"/>
      <c r="LQU74" s="278" t="n"/>
      <c r="LQV74" s="278" t="n"/>
      <c r="LQW74" s="278" t="n"/>
      <c r="LQX74" s="278" t="n"/>
      <c r="LQY74" s="278" t="n"/>
      <c r="LQZ74" s="278" t="n"/>
      <c r="LRA74" s="278" t="n"/>
      <c r="LRB74" s="278" t="n"/>
      <c r="LRC74" s="278" t="n"/>
      <c r="LRD74" s="278" t="n"/>
      <c r="LRE74" s="278" t="n"/>
      <c r="LRF74" s="278" t="n"/>
      <c r="LRG74" s="278" t="n"/>
      <c r="LRH74" s="278" t="n"/>
      <c r="LRI74" s="278" t="n"/>
      <c r="LRJ74" s="278" t="n"/>
      <c r="LRK74" s="278" t="n"/>
      <c r="LRL74" s="278" t="n"/>
      <c r="LRM74" s="278" t="n"/>
      <c r="LRN74" s="278" t="n"/>
      <c r="LRO74" s="278" t="n"/>
      <c r="LRP74" s="278" t="n"/>
      <c r="LRQ74" s="278" t="n"/>
      <c r="LRR74" s="278" t="n"/>
      <c r="LRS74" s="278" t="n"/>
      <c r="LRT74" s="278" t="n"/>
      <c r="LRU74" s="278" t="n"/>
      <c r="LRV74" s="278" t="n"/>
      <c r="LRW74" s="278" t="n"/>
      <c r="LRX74" s="278" t="n"/>
      <c r="LRY74" s="278" t="n"/>
      <c r="LRZ74" s="278" t="n"/>
      <c r="LSA74" s="278" t="n"/>
      <c r="LSB74" s="278" t="n"/>
      <c r="LSC74" s="278" t="n"/>
      <c r="LSD74" s="278" t="n"/>
      <c r="LSE74" s="278" t="n"/>
      <c r="LSF74" s="278" t="n"/>
      <c r="LSG74" s="278" t="n"/>
      <c r="LSH74" s="278" t="n"/>
      <c r="LSI74" s="278" t="n"/>
      <c r="LSJ74" s="278" t="n"/>
      <c r="LSK74" s="278" t="n"/>
      <c r="LSL74" s="278" t="n"/>
      <c r="LSM74" s="278" t="n"/>
      <c r="LSN74" s="278" t="n"/>
      <c r="LSO74" s="278" t="n"/>
      <c r="LSP74" s="278" t="n"/>
      <c r="LSQ74" s="278" t="n"/>
      <c r="LSR74" s="278" t="n"/>
      <c r="LSS74" s="278" t="n"/>
      <c r="LST74" s="278" t="n"/>
      <c r="LSU74" s="278" t="n"/>
      <c r="LSV74" s="278" t="n"/>
      <c r="LSW74" s="278" t="n"/>
      <c r="LSX74" s="278" t="n"/>
      <c r="LSY74" s="278" t="n"/>
      <c r="LSZ74" s="278" t="n"/>
      <c r="LTA74" s="278" t="n"/>
      <c r="LTB74" s="278" t="n"/>
      <c r="LTC74" s="278" t="n"/>
      <c r="LTD74" s="278" t="n"/>
      <c r="LTE74" s="278" t="n"/>
      <c r="LTF74" s="278" t="n"/>
      <c r="LTG74" s="278" t="n"/>
      <c r="LTH74" s="278" t="n"/>
      <c r="LTI74" s="278" t="n"/>
      <c r="LTJ74" s="278" t="n"/>
      <c r="LTK74" s="278" t="n"/>
      <c r="LTL74" s="278" t="n"/>
      <c r="LTM74" s="278" t="n"/>
      <c r="LTN74" s="278" t="n"/>
      <c r="LTO74" s="278" t="n"/>
      <c r="LTP74" s="278" t="n"/>
      <c r="LTQ74" s="278" t="n"/>
      <c r="LTR74" s="278" t="n"/>
      <c r="LTS74" s="278" t="n"/>
      <c r="LTT74" s="278" t="n"/>
      <c r="LTU74" s="278" t="n"/>
      <c r="LTV74" s="278" t="n"/>
      <c r="LTW74" s="278" t="n"/>
      <c r="LTX74" s="278" t="n"/>
      <c r="LTY74" s="278" t="n"/>
      <c r="LTZ74" s="278" t="n"/>
      <c r="LUA74" s="278" t="n"/>
      <c r="LUB74" s="278" t="n"/>
      <c r="LUC74" s="278" t="n"/>
      <c r="LUD74" s="278" t="n"/>
      <c r="LUE74" s="278" t="n"/>
      <c r="LUF74" s="278" t="n"/>
      <c r="LUG74" s="278" t="n"/>
      <c r="LUH74" s="278" t="n"/>
      <c r="LUI74" s="278" t="n"/>
      <c r="LUJ74" s="278" t="n"/>
      <c r="LUK74" s="278" t="n"/>
      <c r="LUL74" s="278" t="n"/>
      <c r="LUM74" s="278" t="n"/>
      <c r="LUN74" s="278" t="n"/>
      <c r="LUO74" s="278" t="n"/>
      <c r="LUP74" s="278" t="n"/>
      <c r="LUQ74" s="278" t="n"/>
      <c r="LUR74" s="278" t="n"/>
      <c r="LUS74" s="278" t="n"/>
      <c r="LUT74" s="278" t="n"/>
      <c r="LUU74" s="278" t="n"/>
      <c r="LUV74" s="278" t="n"/>
      <c r="LUW74" s="278" t="n"/>
      <c r="LUX74" s="278" t="n"/>
      <c r="LUY74" s="278" t="n"/>
      <c r="LUZ74" s="278" t="n"/>
      <c r="LVA74" s="278" t="n"/>
      <c r="LVB74" s="278" t="n"/>
      <c r="LVC74" s="278" t="n"/>
      <c r="LVD74" s="278" t="n"/>
      <c r="LVE74" s="278" t="n"/>
      <c r="LVF74" s="278" t="n"/>
      <c r="LVG74" s="278" t="n"/>
      <c r="LVH74" s="278" t="n"/>
      <c r="LVI74" s="278" t="n"/>
      <c r="LVJ74" s="278" t="n"/>
      <c r="LVK74" s="278" t="n"/>
      <c r="LVL74" s="278" t="n"/>
      <c r="LVM74" s="278" t="n"/>
      <c r="LVN74" s="278" t="n"/>
      <c r="LVO74" s="278" t="n"/>
      <c r="LVP74" s="278" t="n"/>
      <c r="LVQ74" s="278" t="n"/>
      <c r="LVR74" s="278" t="n"/>
      <c r="LVS74" s="278" t="n"/>
      <c r="LVT74" s="278" t="n"/>
      <c r="LVU74" s="278" t="n"/>
      <c r="LVV74" s="278" t="n"/>
      <c r="LVW74" s="278" t="n"/>
      <c r="LVX74" s="278" t="n"/>
      <c r="LVY74" s="278" t="n"/>
      <c r="LVZ74" s="278" t="n"/>
      <c r="LWA74" s="278" t="n"/>
      <c r="LWB74" s="278" t="n"/>
      <c r="LWC74" s="278" t="n"/>
      <c r="LWD74" s="278" t="n"/>
      <c r="LWE74" s="278" t="n"/>
      <c r="LWF74" s="278" t="n"/>
      <c r="LWG74" s="278" t="n"/>
      <c r="LWH74" s="278" t="n"/>
      <c r="LWI74" s="278" t="n"/>
      <c r="LWJ74" s="278" t="n"/>
      <c r="LWK74" s="278" t="n"/>
      <c r="LWL74" s="278" t="n"/>
      <c r="LWM74" s="278" t="n"/>
      <c r="LWN74" s="278" t="n"/>
      <c r="LWO74" s="278" t="n"/>
      <c r="LWP74" s="278" t="n"/>
      <c r="LWQ74" s="278" t="n"/>
      <c r="LWR74" s="278" t="n"/>
      <c r="LWS74" s="278" t="n"/>
      <c r="LWT74" s="278" t="n"/>
      <c r="LWU74" s="278" t="n"/>
      <c r="LWV74" s="278" t="n"/>
      <c r="LWW74" s="278" t="n"/>
      <c r="LWX74" s="278" t="n"/>
      <c r="LWY74" s="278" t="n"/>
      <c r="LWZ74" s="278" t="n"/>
      <c r="LXA74" s="278" t="n"/>
      <c r="LXB74" s="278" t="n"/>
      <c r="LXC74" s="278" t="n"/>
      <c r="LXD74" s="278" t="n"/>
      <c r="LXE74" s="278" t="n"/>
      <c r="LXF74" s="278" t="n"/>
      <c r="LXG74" s="278" t="n"/>
      <c r="LXH74" s="278" t="n"/>
      <c r="LXI74" s="278" t="n"/>
      <c r="LXJ74" s="278" t="n"/>
      <c r="LXK74" s="278" t="n"/>
      <c r="LXL74" s="278" t="n"/>
      <c r="LXM74" s="278" t="n"/>
      <c r="LXN74" s="278" t="n"/>
      <c r="LXO74" s="278" t="n"/>
      <c r="LXP74" s="278" t="n"/>
      <c r="LXQ74" s="278" t="n"/>
      <c r="LXR74" s="278" t="n"/>
      <c r="LXS74" s="278" t="n"/>
      <c r="LXT74" s="278" t="n"/>
      <c r="LXU74" s="278" t="n"/>
      <c r="LXV74" s="278" t="n"/>
      <c r="LXW74" s="278" t="n"/>
      <c r="LXX74" s="278" t="n"/>
      <c r="LXY74" s="278" t="n"/>
      <c r="LXZ74" s="278" t="n"/>
      <c r="LYA74" s="278" t="n"/>
      <c r="LYB74" s="278" t="n"/>
      <c r="LYC74" s="278" t="n"/>
      <c r="LYD74" s="278" t="n"/>
      <c r="LYE74" s="278" t="n"/>
      <c r="LYF74" s="278" t="n"/>
      <c r="LYG74" s="278" t="n"/>
      <c r="LYH74" s="278" t="n"/>
      <c r="LYI74" s="278" t="n"/>
      <c r="LYJ74" s="278" t="n"/>
      <c r="LYK74" s="278" t="n"/>
      <c r="LYL74" s="278" t="n"/>
      <c r="LYM74" s="278" t="n"/>
      <c r="LYN74" s="278" t="n"/>
      <c r="LYO74" s="278" t="n"/>
      <c r="LYP74" s="278" t="n"/>
      <c r="LYQ74" s="278" t="n"/>
      <c r="LYR74" s="278" t="n"/>
      <c r="LYS74" s="278" t="n"/>
      <c r="LYT74" s="278" t="n"/>
      <c r="LYU74" s="278" t="n"/>
      <c r="LYV74" s="278" t="n"/>
      <c r="LYW74" s="278" t="n"/>
      <c r="LYX74" s="278" t="n"/>
      <c r="LYY74" s="278" t="n"/>
      <c r="LYZ74" s="278" t="n"/>
      <c r="LZA74" s="278" t="n"/>
      <c r="LZB74" s="278" t="n"/>
      <c r="LZC74" s="278" t="n"/>
      <c r="LZD74" s="278" t="n"/>
      <c r="LZE74" s="278" t="n"/>
      <c r="LZF74" s="278" t="n"/>
      <c r="LZG74" s="278" t="n"/>
      <c r="LZH74" s="278" t="n"/>
      <c r="LZI74" s="278" t="n"/>
      <c r="LZJ74" s="278" t="n"/>
      <c r="LZK74" s="278" t="n"/>
      <c r="LZL74" s="278" t="n"/>
      <c r="LZM74" s="278" t="n"/>
      <c r="LZN74" s="278" t="n"/>
      <c r="LZO74" s="278" t="n"/>
      <c r="LZP74" s="278" t="n"/>
      <c r="LZQ74" s="278" t="n"/>
      <c r="LZR74" s="278" t="n"/>
      <c r="LZS74" s="278" t="n"/>
      <c r="LZT74" s="278" t="n"/>
      <c r="LZU74" s="278" t="n"/>
      <c r="LZV74" s="278" t="n"/>
      <c r="LZW74" s="278" t="n"/>
      <c r="LZX74" s="278" t="n"/>
      <c r="LZY74" s="278" t="n"/>
      <c r="LZZ74" s="278" t="n"/>
      <c r="MAA74" s="278" t="n"/>
      <c r="MAB74" s="278" t="n"/>
      <c r="MAC74" s="278" t="n"/>
      <c r="MAD74" s="278" t="n"/>
      <c r="MAE74" s="278" t="n"/>
      <c r="MAF74" s="278" t="n"/>
      <c r="MAG74" s="278" t="n"/>
      <c r="MAH74" s="278" t="n"/>
      <c r="MAI74" s="278" t="n"/>
      <c r="MAJ74" s="278" t="n"/>
      <c r="MAK74" s="278" t="n"/>
      <c r="MAL74" s="278" t="n"/>
      <c r="MAM74" s="278" t="n"/>
      <c r="MAN74" s="278" t="n"/>
      <c r="MAO74" s="278" t="n"/>
      <c r="MAP74" s="278" t="n"/>
      <c r="MAQ74" s="278" t="n"/>
      <c r="MAR74" s="278" t="n"/>
      <c r="MAS74" s="278" t="n"/>
      <c r="MAT74" s="278" t="n"/>
      <c r="MAU74" s="278" t="n"/>
      <c r="MAV74" s="278" t="n"/>
      <c r="MAW74" s="278" t="n"/>
      <c r="MAX74" s="278" t="n"/>
      <c r="MAY74" s="278" t="n"/>
      <c r="MAZ74" s="278" t="n"/>
      <c r="MBA74" s="278" t="n"/>
      <c r="MBB74" s="278" t="n"/>
      <c r="MBC74" s="278" t="n"/>
      <c r="MBD74" s="278" t="n"/>
      <c r="MBE74" s="278" t="n"/>
      <c r="MBF74" s="278" t="n"/>
      <c r="MBG74" s="278" t="n"/>
      <c r="MBH74" s="278" t="n"/>
      <c r="MBI74" s="278" t="n"/>
      <c r="MBJ74" s="278" t="n"/>
      <c r="MBK74" s="278" t="n"/>
      <c r="MBL74" s="278" t="n"/>
      <c r="MBM74" s="278" t="n"/>
      <c r="MBN74" s="278" t="n"/>
      <c r="MBO74" s="278" t="n"/>
      <c r="MBP74" s="278" t="n"/>
      <c r="MBQ74" s="278" t="n"/>
      <c r="MBR74" s="278" t="n"/>
      <c r="MBS74" s="278" t="n"/>
      <c r="MBT74" s="278" t="n"/>
      <c r="MBU74" s="278" t="n"/>
      <c r="MBV74" s="278" t="n"/>
      <c r="MBW74" s="278" t="n"/>
      <c r="MBX74" s="278" t="n"/>
      <c r="MBY74" s="278" t="n"/>
      <c r="MBZ74" s="278" t="n"/>
      <c r="MCA74" s="278" t="n"/>
      <c r="MCB74" s="278" t="n"/>
      <c r="MCC74" s="278" t="n"/>
      <c r="MCD74" s="278" t="n"/>
      <c r="MCE74" s="278" t="n"/>
      <c r="MCF74" s="278" t="n"/>
      <c r="MCG74" s="278" t="n"/>
      <c r="MCH74" s="278" t="n"/>
      <c r="MCI74" s="278" t="n"/>
      <c r="MCJ74" s="278" t="n"/>
      <c r="MCK74" s="278" t="n"/>
      <c r="MCL74" s="278" t="n"/>
      <c r="MCM74" s="278" t="n"/>
      <c r="MCN74" s="278" t="n"/>
      <c r="MCO74" s="278" t="n"/>
      <c r="MCP74" s="278" t="n"/>
      <c r="MCQ74" s="278" t="n"/>
      <c r="MCR74" s="278" t="n"/>
      <c r="MCS74" s="278" t="n"/>
      <c r="MCT74" s="278" t="n"/>
      <c r="MCU74" s="278" t="n"/>
      <c r="MCV74" s="278" t="n"/>
      <c r="MCW74" s="278" t="n"/>
      <c r="MCX74" s="278" t="n"/>
      <c r="MCY74" s="278" t="n"/>
      <c r="MCZ74" s="278" t="n"/>
      <c r="MDA74" s="278" t="n"/>
      <c r="MDB74" s="278" t="n"/>
      <c r="MDC74" s="278" t="n"/>
      <c r="MDD74" s="278" t="n"/>
      <c r="MDE74" s="278" t="n"/>
      <c r="MDF74" s="278" t="n"/>
      <c r="MDG74" s="278" t="n"/>
      <c r="MDH74" s="278" t="n"/>
      <c r="MDI74" s="278" t="n"/>
      <c r="MDJ74" s="278" t="n"/>
      <c r="MDK74" s="278" t="n"/>
      <c r="MDL74" s="278" t="n"/>
      <c r="MDM74" s="278" t="n"/>
      <c r="MDN74" s="278" t="n"/>
      <c r="MDO74" s="278" t="n"/>
      <c r="MDP74" s="278" t="n"/>
      <c r="MDQ74" s="278" t="n"/>
      <c r="MDR74" s="278" t="n"/>
      <c r="MDS74" s="278" t="n"/>
      <c r="MDT74" s="278" t="n"/>
      <c r="MDU74" s="278" t="n"/>
      <c r="MDV74" s="278" t="n"/>
      <c r="MDW74" s="278" t="n"/>
      <c r="MDX74" s="278" t="n"/>
      <c r="MDY74" s="278" t="n"/>
      <c r="MDZ74" s="278" t="n"/>
      <c r="MEA74" s="278" t="n"/>
      <c r="MEB74" s="278" t="n"/>
      <c r="MEC74" s="278" t="n"/>
      <c r="MED74" s="278" t="n"/>
      <c r="MEE74" s="278" t="n"/>
      <c r="MEF74" s="278" t="n"/>
      <c r="MEG74" s="278" t="n"/>
      <c r="MEH74" s="278" t="n"/>
      <c r="MEI74" s="278" t="n"/>
      <c r="MEJ74" s="278" t="n"/>
      <c r="MEK74" s="278" t="n"/>
      <c r="MEL74" s="278" t="n"/>
      <c r="MEM74" s="278" t="n"/>
      <c r="MEN74" s="278" t="n"/>
      <c r="MEO74" s="278" t="n"/>
      <c r="MEP74" s="278" t="n"/>
      <c r="MEQ74" s="278" t="n"/>
      <c r="MER74" s="278" t="n"/>
      <c r="MES74" s="278" t="n"/>
      <c r="MET74" s="278" t="n"/>
      <c r="MEU74" s="278" t="n"/>
      <c r="MEV74" s="278" t="n"/>
      <c r="MEW74" s="278" t="n"/>
      <c r="MEX74" s="278" t="n"/>
      <c r="MEY74" s="278" t="n"/>
      <c r="MEZ74" s="278" t="n"/>
      <c r="MFA74" s="278" t="n"/>
      <c r="MFB74" s="278" t="n"/>
      <c r="MFC74" s="278" t="n"/>
      <c r="MFD74" s="278" t="n"/>
      <c r="MFE74" s="278" t="n"/>
      <c r="MFF74" s="278" t="n"/>
      <c r="MFG74" s="278" t="n"/>
      <c r="MFH74" s="278" t="n"/>
      <c r="MFI74" s="278" t="n"/>
      <c r="MFJ74" s="278" t="n"/>
      <c r="MFK74" s="278" t="n"/>
      <c r="MFL74" s="278" t="n"/>
      <c r="MFM74" s="278" t="n"/>
      <c r="MFN74" s="278" t="n"/>
      <c r="MFO74" s="278" t="n"/>
      <c r="MFP74" s="278" t="n"/>
      <c r="MFQ74" s="278" t="n"/>
      <c r="MFR74" s="278" t="n"/>
      <c r="MFS74" s="278" t="n"/>
      <c r="MFT74" s="278" t="n"/>
      <c r="MFU74" s="278" t="n"/>
      <c r="MFV74" s="278" t="n"/>
      <c r="MFW74" s="278" t="n"/>
      <c r="MFX74" s="278" t="n"/>
      <c r="MFY74" s="278" t="n"/>
      <c r="MFZ74" s="278" t="n"/>
      <c r="MGA74" s="278" t="n"/>
      <c r="MGB74" s="278" t="n"/>
      <c r="MGC74" s="278" t="n"/>
      <c r="MGD74" s="278" t="n"/>
      <c r="MGE74" s="278" t="n"/>
      <c r="MGF74" s="278" t="n"/>
      <c r="MGG74" s="278" t="n"/>
      <c r="MGH74" s="278" t="n"/>
      <c r="MGI74" s="278" t="n"/>
      <c r="MGJ74" s="278" t="n"/>
      <c r="MGK74" s="278" t="n"/>
      <c r="MGL74" s="278" t="n"/>
      <c r="MGM74" s="278" t="n"/>
      <c r="MGN74" s="278" t="n"/>
      <c r="MGO74" s="278" t="n"/>
      <c r="MGP74" s="278" t="n"/>
      <c r="MGQ74" s="278" t="n"/>
      <c r="MGR74" s="278" t="n"/>
      <c r="MGS74" s="278" t="n"/>
      <c r="MGT74" s="278" t="n"/>
      <c r="MGU74" s="278" t="n"/>
      <c r="MGV74" s="278" t="n"/>
      <c r="MGW74" s="278" t="n"/>
      <c r="MGX74" s="278" t="n"/>
      <c r="MGY74" s="278" t="n"/>
      <c r="MGZ74" s="278" t="n"/>
      <c r="MHA74" s="278" t="n"/>
      <c r="MHB74" s="278" t="n"/>
      <c r="MHC74" s="278" t="n"/>
      <c r="MHD74" s="278" t="n"/>
      <c r="MHE74" s="278" t="n"/>
      <c r="MHF74" s="278" t="n"/>
      <c r="MHG74" s="278" t="n"/>
      <c r="MHH74" s="278" t="n"/>
      <c r="MHI74" s="278" t="n"/>
      <c r="MHJ74" s="278" t="n"/>
      <c r="MHK74" s="278" t="n"/>
      <c r="MHL74" s="278" t="n"/>
      <c r="MHM74" s="278" t="n"/>
      <c r="MHN74" s="278" t="n"/>
      <c r="MHO74" s="278" t="n"/>
      <c r="MHP74" s="278" t="n"/>
      <c r="MHQ74" s="278" t="n"/>
      <c r="MHR74" s="278" t="n"/>
      <c r="MHS74" s="278" t="n"/>
      <c r="MHT74" s="278" t="n"/>
      <c r="MHU74" s="278" t="n"/>
      <c r="MHV74" s="278" t="n"/>
      <c r="MHW74" s="278" t="n"/>
      <c r="MHX74" s="278" t="n"/>
      <c r="MHY74" s="278" t="n"/>
      <c r="MHZ74" s="278" t="n"/>
      <c r="MIA74" s="278" t="n"/>
      <c r="MIB74" s="278" t="n"/>
      <c r="MIC74" s="278" t="n"/>
      <c r="MID74" s="278" t="n"/>
      <c r="MIE74" s="278" t="n"/>
      <c r="MIF74" s="278" t="n"/>
      <c r="MIG74" s="278" t="n"/>
      <c r="MIH74" s="278" t="n"/>
      <c r="MII74" s="278" t="n"/>
      <c r="MIJ74" s="278" t="n"/>
      <c r="MIK74" s="278" t="n"/>
      <c r="MIL74" s="278" t="n"/>
      <c r="MIM74" s="278" t="n"/>
      <c r="MIN74" s="278" t="n"/>
      <c r="MIO74" s="278" t="n"/>
      <c r="MIP74" s="278" t="n"/>
      <c r="MIQ74" s="278" t="n"/>
      <c r="MIR74" s="278" t="n"/>
      <c r="MIS74" s="278" t="n"/>
      <c r="MIT74" s="278" t="n"/>
      <c r="MIU74" s="278" t="n"/>
      <c r="MIV74" s="278" t="n"/>
      <c r="MIW74" s="278" t="n"/>
      <c r="MIX74" s="278" t="n"/>
      <c r="MIY74" s="278" t="n"/>
      <c r="MIZ74" s="278" t="n"/>
      <c r="MJA74" s="278" t="n"/>
      <c r="MJB74" s="278" t="n"/>
      <c r="MJC74" s="278" t="n"/>
      <c r="MJD74" s="278" t="n"/>
      <c r="MJE74" s="278" t="n"/>
      <c r="MJF74" s="278" t="n"/>
      <c r="MJG74" s="278" t="n"/>
      <c r="MJH74" s="278" t="n"/>
      <c r="MJI74" s="278" t="n"/>
      <c r="MJJ74" s="278" t="n"/>
      <c r="MJK74" s="278" t="n"/>
      <c r="MJL74" s="278" t="n"/>
      <c r="MJM74" s="278" t="n"/>
      <c r="MJN74" s="278" t="n"/>
      <c r="MJO74" s="278" t="n"/>
      <c r="MJP74" s="278" t="n"/>
      <c r="MJQ74" s="278" t="n"/>
      <c r="MJR74" s="278" t="n"/>
      <c r="MJS74" s="278" t="n"/>
      <c r="MJT74" s="278" t="n"/>
      <c r="MJU74" s="278" t="n"/>
      <c r="MJV74" s="278" t="n"/>
      <c r="MJW74" s="278" t="n"/>
      <c r="MJX74" s="278" t="n"/>
      <c r="MJY74" s="278" t="n"/>
      <c r="MJZ74" s="278" t="n"/>
      <c r="MKA74" s="278" t="n"/>
      <c r="MKB74" s="278" t="n"/>
      <c r="MKC74" s="278" t="n"/>
      <c r="MKD74" s="278" t="n"/>
      <c r="MKE74" s="278" t="n"/>
      <c r="MKF74" s="278" t="n"/>
      <c r="MKG74" s="278" t="n"/>
      <c r="MKH74" s="278" t="n"/>
      <c r="MKI74" s="278" t="n"/>
      <c r="MKJ74" s="278" t="n"/>
      <c r="MKK74" s="278" t="n"/>
      <c r="MKL74" s="278" t="n"/>
      <c r="MKM74" s="278" t="n"/>
      <c r="MKN74" s="278" t="n"/>
      <c r="MKO74" s="278" t="n"/>
      <c r="MKP74" s="278" t="n"/>
      <c r="MKQ74" s="278" t="n"/>
      <c r="MKR74" s="278" t="n"/>
      <c r="MKS74" s="278" t="n"/>
      <c r="MKT74" s="278" t="n"/>
      <c r="MKU74" s="278" t="n"/>
      <c r="MKV74" s="278" t="n"/>
      <c r="MKW74" s="278" t="n"/>
      <c r="MKX74" s="278" t="n"/>
      <c r="MKY74" s="278" t="n"/>
      <c r="MKZ74" s="278" t="n"/>
      <c r="MLA74" s="278" t="n"/>
      <c r="MLB74" s="278" t="n"/>
      <c r="MLC74" s="278" t="n"/>
      <c r="MLD74" s="278" t="n"/>
      <c r="MLE74" s="278" t="n"/>
      <c r="MLF74" s="278" t="n"/>
      <c r="MLG74" s="278" t="n"/>
      <c r="MLH74" s="278" t="n"/>
      <c r="MLI74" s="278" t="n"/>
      <c r="MLJ74" s="278" t="n"/>
      <c r="MLK74" s="278" t="n"/>
      <c r="MLL74" s="278" t="n"/>
      <c r="MLM74" s="278" t="n"/>
      <c r="MLN74" s="278" t="n"/>
      <c r="MLO74" s="278" t="n"/>
      <c r="MLP74" s="278" t="n"/>
      <c r="MLQ74" s="278" t="n"/>
      <c r="MLR74" s="278" t="n"/>
      <c r="MLS74" s="278" t="n"/>
      <c r="MLT74" s="278" t="n"/>
      <c r="MLU74" s="278" t="n"/>
      <c r="MLV74" s="278" t="n"/>
      <c r="MLW74" s="278" t="n"/>
      <c r="MLX74" s="278" t="n"/>
      <c r="MLY74" s="278" t="n"/>
      <c r="MLZ74" s="278" t="n"/>
      <c r="MMA74" s="278" t="n"/>
      <c r="MMB74" s="278" t="n"/>
      <c r="MMC74" s="278" t="n"/>
      <c r="MMD74" s="278" t="n"/>
      <c r="MME74" s="278" t="n"/>
      <c r="MMF74" s="278" t="n"/>
      <c r="MMG74" s="278" t="n"/>
      <c r="MMH74" s="278" t="n"/>
      <c r="MMI74" s="278" t="n"/>
      <c r="MMJ74" s="278" t="n"/>
      <c r="MMK74" s="278" t="n"/>
      <c r="MML74" s="278" t="n"/>
      <c r="MMM74" s="278" t="n"/>
      <c r="MMN74" s="278" t="n"/>
      <c r="MMO74" s="278" t="n"/>
      <c r="MMP74" s="278" t="n"/>
      <c r="MMQ74" s="278" t="n"/>
      <c r="MMR74" s="278" t="n"/>
      <c r="MMS74" s="278" t="n"/>
      <c r="MMT74" s="278" t="n"/>
      <c r="MMU74" s="278" t="n"/>
      <c r="MMV74" s="278" t="n"/>
      <c r="MMW74" s="278" t="n"/>
      <c r="MMX74" s="278" t="n"/>
      <c r="MMY74" s="278" t="n"/>
      <c r="MMZ74" s="278" t="n"/>
      <c r="MNA74" s="278" t="n"/>
      <c r="MNB74" s="278" t="n"/>
      <c r="MNC74" s="278" t="n"/>
      <c r="MND74" s="278" t="n"/>
      <c r="MNE74" s="278" t="n"/>
      <c r="MNF74" s="278" t="n"/>
      <c r="MNG74" s="278" t="n"/>
      <c r="MNH74" s="278" t="n"/>
      <c r="MNI74" s="278" t="n"/>
      <c r="MNJ74" s="278" t="n"/>
      <c r="MNK74" s="278" t="n"/>
      <c r="MNL74" s="278" t="n"/>
      <c r="MNM74" s="278" t="n"/>
      <c r="MNN74" s="278" t="n"/>
      <c r="MNO74" s="278" t="n"/>
      <c r="MNP74" s="278" t="n"/>
      <c r="MNQ74" s="278" t="n"/>
      <c r="MNR74" s="278" t="n"/>
      <c r="MNS74" s="278" t="n"/>
      <c r="MNT74" s="278" t="n"/>
      <c r="MNU74" s="278" t="n"/>
      <c r="MNV74" s="278" t="n"/>
      <c r="MNW74" s="278" t="n"/>
      <c r="MNX74" s="278" t="n"/>
      <c r="MNY74" s="278" t="n"/>
      <c r="MNZ74" s="278" t="n"/>
      <c r="MOA74" s="278" t="n"/>
      <c r="MOB74" s="278" t="n"/>
      <c r="MOC74" s="278" t="n"/>
      <c r="MOD74" s="278" t="n"/>
      <c r="MOE74" s="278" t="n"/>
      <c r="MOF74" s="278" t="n"/>
      <c r="MOG74" s="278" t="n"/>
      <c r="MOH74" s="278" t="n"/>
      <c r="MOI74" s="278" t="n"/>
      <c r="MOJ74" s="278" t="n"/>
      <c r="MOK74" s="278" t="n"/>
      <c r="MOL74" s="278" t="n"/>
      <c r="MOM74" s="278" t="n"/>
      <c r="MON74" s="278" t="n"/>
      <c r="MOO74" s="278" t="n"/>
      <c r="MOP74" s="278" t="n"/>
      <c r="MOQ74" s="278" t="n"/>
      <c r="MOR74" s="278" t="n"/>
      <c r="MOS74" s="278" t="n"/>
      <c r="MOT74" s="278" t="n"/>
      <c r="MOU74" s="278" t="n"/>
      <c r="MOV74" s="278" t="n"/>
      <c r="MOW74" s="278" t="n"/>
      <c r="MOX74" s="278" t="n"/>
      <c r="MOY74" s="278" t="n"/>
      <c r="MOZ74" s="278" t="n"/>
      <c r="MPA74" s="278" t="n"/>
      <c r="MPB74" s="278" t="n"/>
      <c r="MPC74" s="278" t="n"/>
      <c r="MPD74" s="278" t="n"/>
      <c r="MPE74" s="278" t="n"/>
      <c r="MPF74" s="278" t="n"/>
      <c r="MPG74" s="278" t="n"/>
      <c r="MPH74" s="278" t="n"/>
      <c r="MPI74" s="278" t="n"/>
      <c r="MPJ74" s="278" t="n"/>
      <c r="MPK74" s="278" t="n"/>
      <c r="MPL74" s="278" t="n"/>
      <c r="MPM74" s="278" t="n"/>
      <c r="MPN74" s="278" t="n"/>
      <c r="MPO74" s="278" t="n"/>
      <c r="MPP74" s="278" t="n"/>
      <c r="MPQ74" s="278" t="n"/>
      <c r="MPR74" s="278" t="n"/>
      <c r="MPS74" s="278" t="n"/>
      <c r="MPT74" s="278" t="n"/>
      <c r="MPU74" s="278" t="n"/>
      <c r="MPV74" s="278" t="n"/>
      <c r="MPW74" s="278" t="n"/>
      <c r="MPX74" s="278" t="n"/>
      <c r="MPY74" s="278" t="n"/>
      <c r="MPZ74" s="278" t="n"/>
      <c r="MQA74" s="278" t="n"/>
      <c r="MQB74" s="278" t="n"/>
      <c r="MQC74" s="278" t="n"/>
      <c r="MQD74" s="278" t="n"/>
      <c r="MQE74" s="278" t="n"/>
      <c r="MQF74" s="278" t="n"/>
      <c r="MQG74" s="278" t="n"/>
      <c r="MQH74" s="278" t="n"/>
      <c r="MQI74" s="278" t="n"/>
      <c r="MQJ74" s="278" t="n"/>
      <c r="MQK74" s="278" t="n"/>
      <c r="MQL74" s="278" t="n"/>
      <c r="MQM74" s="278" t="n"/>
      <c r="MQN74" s="278" t="n"/>
      <c r="MQO74" s="278" t="n"/>
      <c r="MQP74" s="278" t="n"/>
      <c r="MQQ74" s="278" t="n"/>
      <c r="MQR74" s="278" t="n"/>
      <c r="MQS74" s="278" t="n"/>
      <c r="MQT74" s="278" t="n"/>
      <c r="MQU74" s="278" t="n"/>
      <c r="MQV74" s="278" t="n"/>
      <c r="MQW74" s="278" t="n"/>
      <c r="MQX74" s="278" t="n"/>
      <c r="MQY74" s="278" t="n"/>
      <c r="MQZ74" s="278" t="n"/>
      <c r="MRA74" s="278" t="n"/>
      <c r="MRB74" s="278" t="n"/>
      <c r="MRC74" s="278" t="n"/>
      <c r="MRD74" s="278" t="n"/>
      <c r="MRE74" s="278" t="n"/>
      <c r="MRF74" s="278" t="n"/>
      <c r="MRG74" s="278" t="n"/>
      <c r="MRH74" s="278" t="n"/>
      <c r="MRI74" s="278" t="n"/>
      <c r="MRJ74" s="278" t="n"/>
      <c r="MRK74" s="278" t="n"/>
      <c r="MRL74" s="278" t="n"/>
      <c r="MRM74" s="278" t="n"/>
      <c r="MRN74" s="278" t="n"/>
      <c r="MRO74" s="278" t="n"/>
      <c r="MRP74" s="278" t="n"/>
      <c r="MRQ74" s="278" t="n"/>
      <c r="MRR74" s="278" t="n"/>
      <c r="MRS74" s="278" t="n"/>
      <c r="MRT74" s="278" t="n"/>
      <c r="MRU74" s="278" t="n"/>
      <c r="MRV74" s="278" t="n"/>
      <c r="MRW74" s="278" t="n"/>
      <c r="MRX74" s="278" t="n"/>
      <c r="MRY74" s="278" t="n"/>
      <c r="MRZ74" s="278" t="n"/>
      <c r="MSA74" s="278" t="n"/>
      <c r="MSB74" s="278" t="n"/>
      <c r="MSC74" s="278" t="n"/>
      <c r="MSD74" s="278" t="n"/>
      <c r="MSE74" s="278" t="n"/>
      <c r="MSF74" s="278" t="n"/>
      <c r="MSG74" s="278" t="n"/>
      <c r="MSH74" s="278" t="n"/>
      <c r="MSI74" s="278" t="n"/>
      <c r="MSJ74" s="278" t="n"/>
      <c r="MSK74" s="278" t="n"/>
      <c r="MSL74" s="278" t="n"/>
      <c r="MSM74" s="278" t="n"/>
      <c r="MSN74" s="278" t="n"/>
      <c r="MSO74" s="278" t="n"/>
      <c r="MSP74" s="278" t="n"/>
      <c r="MSQ74" s="278" t="n"/>
      <c r="MSR74" s="278" t="n"/>
      <c r="MSS74" s="278" t="n"/>
      <c r="MST74" s="278" t="n"/>
      <c r="MSU74" s="278" t="n"/>
      <c r="MSV74" s="278" t="n"/>
      <c r="MSW74" s="278" t="n"/>
      <c r="MSX74" s="278" t="n"/>
      <c r="MSY74" s="278" t="n"/>
      <c r="MSZ74" s="278" t="n"/>
      <c r="MTA74" s="278" t="n"/>
      <c r="MTB74" s="278" t="n"/>
      <c r="MTC74" s="278" t="n"/>
      <c r="MTD74" s="278" t="n"/>
      <c r="MTE74" s="278" t="n"/>
      <c r="MTF74" s="278" t="n"/>
      <c r="MTG74" s="278" t="n"/>
      <c r="MTH74" s="278" t="n"/>
      <c r="MTI74" s="278" t="n"/>
      <c r="MTJ74" s="278" t="n"/>
      <c r="MTK74" s="278" t="n"/>
      <c r="MTL74" s="278" t="n"/>
      <c r="MTM74" s="278" t="n"/>
      <c r="MTN74" s="278" t="n"/>
      <c r="MTO74" s="278" t="n"/>
      <c r="MTP74" s="278" t="n"/>
      <c r="MTQ74" s="278" t="n"/>
      <c r="MTR74" s="278" t="n"/>
      <c r="MTS74" s="278" t="n"/>
      <c r="MTT74" s="278" t="n"/>
      <c r="MTU74" s="278" t="n"/>
      <c r="MTV74" s="278" t="n"/>
      <c r="MTW74" s="278" t="n"/>
      <c r="MTX74" s="278" t="n"/>
      <c r="MTY74" s="278" t="n"/>
      <c r="MTZ74" s="278" t="n"/>
      <c r="MUA74" s="278" t="n"/>
      <c r="MUB74" s="278" t="n"/>
      <c r="MUC74" s="278" t="n"/>
      <c r="MUD74" s="278" t="n"/>
      <c r="MUE74" s="278" t="n"/>
      <c r="MUF74" s="278" t="n"/>
      <c r="MUG74" s="278" t="n"/>
      <c r="MUH74" s="278" t="n"/>
      <c r="MUI74" s="278" t="n"/>
      <c r="MUJ74" s="278" t="n"/>
      <c r="MUK74" s="278" t="n"/>
      <c r="MUL74" s="278" t="n"/>
      <c r="MUM74" s="278" t="n"/>
      <c r="MUN74" s="278" t="n"/>
      <c r="MUO74" s="278" t="n"/>
      <c r="MUP74" s="278" t="n"/>
      <c r="MUQ74" s="278" t="n"/>
      <c r="MUR74" s="278" t="n"/>
      <c r="MUS74" s="278" t="n"/>
      <c r="MUT74" s="278" t="n"/>
      <c r="MUU74" s="278" t="n"/>
      <c r="MUV74" s="278" t="n"/>
      <c r="MUW74" s="278" t="n"/>
      <c r="MUX74" s="278" t="n"/>
      <c r="MUY74" s="278" t="n"/>
      <c r="MUZ74" s="278" t="n"/>
      <c r="MVA74" s="278" t="n"/>
      <c r="MVB74" s="278" t="n"/>
      <c r="MVC74" s="278" t="n"/>
      <c r="MVD74" s="278" t="n"/>
      <c r="MVE74" s="278" t="n"/>
      <c r="MVF74" s="278" t="n"/>
      <c r="MVG74" s="278" t="n"/>
      <c r="MVH74" s="278" t="n"/>
      <c r="MVI74" s="278" t="n"/>
      <c r="MVJ74" s="278" t="n"/>
      <c r="MVK74" s="278" t="n"/>
      <c r="MVL74" s="278" t="n"/>
      <c r="MVM74" s="278" t="n"/>
      <c r="MVN74" s="278" t="n"/>
      <c r="MVO74" s="278" t="n"/>
      <c r="MVP74" s="278" t="n"/>
      <c r="MVQ74" s="278" t="n"/>
      <c r="MVR74" s="278" t="n"/>
      <c r="MVS74" s="278" t="n"/>
      <c r="MVT74" s="278" t="n"/>
      <c r="MVU74" s="278" t="n"/>
      <c r="MVV74" s="278" t="n"/>
      <c r="MVW74" s="278" t="n"/>
      <c r="MVX74" s="278" t="n"/>
      <c r="MVY74" s="278" t="n"/>
      <c r="MVZ74" s="278" t="n"/>
      <c r="MWA74" s="278" t="n"/>
      <c r="MWB74" s="278" t="n"/>
      <c r="MWC74" s="278" t="n"/>
      <c r="MWD74" s="278" t="n"/>
      <c r="MWE74" s="278" t="n"/>
      <c r="MWF74" s="278" t="n"/>
      <c r="MWG74" s="278" t="n"/>
      <c r="MWH74" s="278" t="n"/>
      <c r="MWI74" s="278" t="n"/>
      <c r="MWJ74" s="278" t="n"/>
      <c r="MWK74" s="278" t="n"/>
      <c r="MWL74" s="278" t="n"/>
      <c r="MWM74" s="278" t="n"/>
      <c r="MWN74" s="278" t="n"/>
      <c r="MWO74" s="278" t="n"/>
      <c r="MWP74" s="278" t="n"/>
      <c r="MWQ74" s="278" t="n"/>
      <c r="MWR74" s="278" t="n"/>
      <c r="MWS74" s="278" t="n"/>
      <c r="MWT74" s="278" t="n"/>
      <c r="MWU74" s="278" t="n"/>
      <c r="MWV74" s="278" t="n"/>
      <c r="MWW74" s="278" t="n"/>
      <c r="MWX74" s="278" t="n"/>
      <c r="MWY74" s="278" t="n"/>
      <c r="MWZ74" s="278" t="n"/>
      <c r="MXA74" s="278" t="n"/>
      <c r="MXB74" s="278" t="n"/>
      <c r="MXC74" s="278" t="n"/>
      <c r="MXD74" s="278" t="n"/>
      <c r="MXE74" s="278" t="n"/>
      <c r="MXF74" s="278" t="n"/>
      <c r="MXG74" s="278" t="n"/>
      <c r="MXH74" s="278" t="n"/>
      <c r="MXI74" s="278" t="n"/>
      <c r="MXJ74" s="278" t="n"/>
      <c r="MXK74" s="278" t="n"/>
      <c r="MXL74" s="278" t="n"/>
      <c r="MXM74" s="278" t="n"/>
      <c r="MXN74" s="278" t="n"/>
      <c r="MXO74" s="278" t="n"/>
      <c r="MXP74" s="278" t="n"/>
      <c r="MXQ74" s="278" t="n"/>
      <c r="MXR74" s="278" t="n"/>
      <c r="MXS74" s="278" t="n"/>
      <c r="MXT74" s="278" t="n"/>
      <c r="MXU74" s="278" t="n"/>
      <c r="MXV74" s="278" t="n"/>
      <c r="MXW74" s="278" t="n"/>
      <c r="MXX74" s="278" t="n"/>
      <c r="MXY74" s="278" t="n"/>
      <c r="MXZ74" s="278" t="n"/>
      <c r="MYA74" s="278" t="n"/>
      <c r="MYB74" s="278" t="n"/>
      <c r="MYC74" s="278" t="n"/>
      <c r="MYD74" s="278" t="n"/>
      <c r="MYE74" s="278" t="n"/>
      <c r="MYF74" s="278" t="n"/>
      <c r="MYG74" s="278" t="n"/>
      <c r="MYH74" s="278" t="n"/>
      <c r="MYI74" s="278" t="n"/>
      <c r="MYJ74" s="278" t="n"/>
      <c r="MYK74" s="278" t="n"/>
      <c r="MYL74" s="278" t="n"/>
      <c r="MYM74" s="278" t="n"/>
      <c r="MYN74" s="278" t="n"/>
      <c r="MYO74" s="278" t="n"/>
      <c r="MYP74" s="278" t="n"/>
      <c r="MYQ74" s="278" t="n"/>
      <c r="MYR74" s="278" t="n"/>
      <c r="MYS74" s="278" t="n"/>
      <c r="MYT74" s="278" t="n"/>
      <c r="MYU74" s="278" t="n"/>
      <c r="MYV74" s="278" t="n"/>
      <c r="MYW74" s="278" t="n"/>
      <c r="MYX74" s="278" t="n"/>
      <c r="MYY74" s="278" t="n"/>
      <c r="MYZ74" s="278" t="n"/>
      <c r="MZA74" s="278" t="n"/>
      <c r="MZB74" s="278" t="n"/>
      <c r="MZC74" s="278" t="n"/>
      <c r="MZD74" s="278" t="n"/>
      <c r="MZE74" s="278" t="n"/>
      <c r="MZF74" s="278" t="n"/>
      <c r="MZG74" s="278" t="n"/>
      <c r="MZH74" s="278" t="n"/>
      <c r="MZI74" s="278" t="n"/>
      <c r="MZJ74" s="278" t="n"/>
      <c r="MZK74" s="278" t="n"/>
      <c r="MZL74" s="278" t="n"/>
      <c r="MZM74" s="278" t="n"/>
      <c r="MZN74" s="278" t="n"/>
      <c r="MZO74" s="278" t="n"/>
      <c r="MZP74" s="278" t="n"/>
      <c r="MZQ74" s="278" t="n"/>
      <c r="MZR74" s="278" t="n"/>
      <c r="MZS74" s="278" t="n"/>
      <c r="MZT74" s="278" t="n"/>
      <c r="MZU74" s="278" t="n"/>
      <c r="MZV74" s="278" t="n"/>
      <c r="MZW74" s="278" t="n"/>
      <c r="MZX74" s="278" t="n"/>
      <c r="MZY74" s="278" t="n"/>
      <c r="MZZ74" s="278" t="n"/>
      <c r="NAA74" s="278" t="n"/>
      <c r="NAB74" s="278" t="n"/>
      <c r="NAC74" s="278" t="n"/>
      <c r="NAD74" s="278" t="n"/>
      <c r="NAE74" s="278" t="n"/>
      <c r="NAF74" s="278" t="n"/>
      <c r="NAG74" s="278" t="n"/>
      <c r="NAH74" s="278" t="n"/>
      <c r="NAI74" s="278" t="n"/>
      <c r="NAJ74" s="278" t="n"/>
      <c r="NAK74" s="278" t="n"/>
      <c r="NAL74" s="278" t="n"/>
      <c r="NAM74" s="278" t="n"/>
      <c r="NAN74" s="278" t="n"/>
      <c r="NAO74" s="278" t="n"/>
      <c r="NAP74" s="278" t="n"/>
      <c r="NAQ74" s="278" t="n"/>
      <c r="NAR74" s="278" t="n"/>
      <c r="NAS74" s="278" t="n"/>
      <c r="NAT74" s="278" t="n"/>
      <c r="NAU74" s="278" t="n"/>
      <c r="NAV74" s="278" t="n"/>
      <c r="NAW74" s="278" t="n"/>
      <c r="NAX74" s="278" t="n"/>
      <c r="NAY74" s="278" t="n"/>
      <c r="NAZ74" s="278" t="n"/>
      <c r="NBA74" s="278" t="n"/>
      <c r="NBB74" s="278" t="n"/>
      <c r="NBC74" s="278" t="n"/>
      <c r="NBD74" s="278" t="n"/>
      <c r="NBE74" s="278" t="n"/>
      <c r="NBF74" s="278" t="n"/>
      <c r="NBG74" s="278" t="n"/>
      <c r="NBH74" s="278" t="n"/>
      <c r="NBI74" s="278" t="n"/>
      <c r="NBJ74" s="278" t="n"/>
      <c r="NBK74" s="278" t="n"/>
      <c r="NBL74" s="278" t="n"/>
      <c r="NBM74" s="278" t="n"/>
      <c r="NBN74" s="278" t="n"/>
      <c r="NBO74" s="278" t="n"/>
      <c r="NBP74" s="278" t="n"/>
      <c r="NBQ74" s="278" t="n"/>
      <c r="NBR74" s="278" t="n"/>
      <c r="NBS74" s="278" t="n"/>
      <c r="NBT74" s="278" t="n"/>
      <c r="NBU74" s="278" t="n"/>
      <c r="NBV74" s="278" t="n"/>
      <c r="NBW74" s="278" t="n"/>
      <c r="NBX74" s="278" t="n"/>
      <c r="NBY74" s="278" t="n"/>
      <c r="NBZ74" s="278" t="n"/>
      <c r="NCA74" s="278" t="n"/>
      <c r="NCB74" s="278" t="n"/>
      <c r="NCC74" s="278" t="n"/>
      <c r="NCD74" s="278" t="n"/>
      <c r="NCE74" s="278" t="n"/>
      <c r="NCF74" s="278" t="n"/>
      <c r="NCG74" s="278" t="n"/>
      <c r="NCH74" s="278" t="n"/>
      <c r="NCI74" s="278" t="n"/>
      <c r="NCJ74" s="278" t="n"/>
      <c r="NCK74" s="278" t="n"/>
      <c r="NCL74" s="278" t="n"/>
      <c r="NCM74" s="278" t="n"/>
      <c r="NCN74" s="278" t="n"/>
      <c r="NCO74" s="278" t="n"/>
      <c r="NCP74" s="278" t="n"/>
      <c r="NCQ74" s="278" t="n"/>
      <c r="NCR74" s="278" t="n"/>
      <c r="NCS74" s="278" t="n"/>
      <c r="NCT74" s="278" t="n"/>
      <c r="NCU74" s="278" t="n"/>
      <c r="NCV74" s="278" t="n"/>
      <c r="NCW74" s="278" t="n"/>
      <c r="NCX74" s="278" t="n"/>
      <c r="NCY74" s="278" t="n"/>
      <c r="NCZ74" s="278" t="n"/>
      <c r="NDA74" s="278" t="n"/>
      <c r="NDB74" s="278" t="n"/>
      <c r="NDC74" s="278" t="n"/>
      <c r="NDD74" s="278" t="n"/>
      <c r="NDE74" s="278" t="n"/>
      <c r="NDF74" s="278" t="n"/>
      <c r="NDG74" s="278" t="n"/>
      <c r="NDH74" s="278" t="n"/>
      <c r="NDI74" s="278" t="n"/>
      <c r="NDJ74" s="278" t="n"/>
      <c r="NDK74" s="278" t="n"/>
      <c r="NDL74" s="278" t="n"/>
      <c r="NDM74" s="278" t="n"/>
      <c r="NDN74" s="278" t="n"/>
      <c r="NDO74" s="278" t="n"/>
      <c r="NDP74" s="278" t="n"/>
      <c r="NDQ74" s="278" t="n"/>
      <c r="NDR74" s="278" t="n"/>
      <c r="NDS74" s="278" t="n"/>
      <c r="NDT74" s="278" t="n"/>
      <c r="NDU74" s="278" t="n"/>
      <c r="NDV74" s="278" t="n"/>
      <c r="NDW74" s="278" t="n"/>
      <c r="NDX74" s="278" t="n"/>
      <c r="NDY74" s="278" t="n"/>
      <c r="NDZ74" s="278" t="n"/>
      <c r="NEA74" s="278" t="n"/>
      <c r="NEB74" s="278" t="n"/>
      <c r="NEC74" s="278" t="n"/>
      <c r="NED74" s="278" t="n"/>
      <c r="NEE74" s="278" t="n"/>
      <c r="NEF74" s="278" t="n"/>
      <c r="NEG74" s="278" t="n"/>
      <c r="NEH74" s="278" t="n"/>
      <c r="NEI74" s="278" t="n"/>
      <c r="NEJ74" s="278" t="n"/>
      <c r="NEK74" s="278" t="n"/>
      <c r="NEL74" s="278" t="n"/>
      <c r="NEM74" s="278" t="n"/>
      <c r="NEN74" s="278" t="n"/>
      <c r="NEO74" s="278" t="n"/>
      <c r="NEP74" s="278" t="n"/>
      <c r="NEQ74" s="278" t="n"/>
      <c r="NER74" s="278" t="n"/>
      <c r="NES74" s="278" t="n"/>
      <c r="NET74" s="278" t="n"/>
      <c r="NEU74" s="278" t="n"/>
      <c r="NEV74" s="278" t="n"/>
      <c r="NEW74" s="278" t="n"/>
      <c r="NEX74" s="278" t="n"/>
      <c r="NEY74" s="278" t="n"/>
      <c r="NEZ74" s="278" t="n"/>
      <c r="NFA74" s="278" t="n"/>
      <c r="NFB74" s="278" t="n"/>
      <c r="NFC74" s="278" t="n"/>
      <c r="NFD74" s="278" t="n"/>
      <c r="NFE74" s="278" t="n"/>
      <c r="NFF74" s="278" t="n"/>
      <c r="NFG74" s="278" t="n"/>
      <c r="NFH74" s="278" t="n"/>
      <c r="NFI74" s="278" t="n"/>
      <c r="NFJ74" s="278" t="n"/>
      <c r="NFK74" s="278" t="n"/>
      <c r="NFL74" s="278" t="n"/>
      <c r="NFM74" s="278" t="n"/>
      <c r="NFN74" s="278" t="n"/>
      <c r="NFO74" s="278" t="n"/>
      <c r="NFP74" s="278" t="n"/>
      <c r="NFQ74" s="278" t="n"/>
      <c r="NFR74" s="278" t="n"/>
      <c r="NFS74" s="278" t="n"/>
      <c r="NFT74" s="278" t="n"/>
      <c r="NFU74" s="278" t="n"/>
      <c r="NFV74" s="278" t="n"/>
      <c r="NFW74" s="278" t="n"/>
      <c r="NFX74" s="278" t="n"/>
      <c r="NFY74" s="278" t="n"/>
      <c r="NFZ74" s="278" t="n"/>
      <c r="NGA74" s="278" t="n"/>
      <c r="NGB74" s="278" t="n"/>
      <c r="NGC74" s="278" t="n"/>
      <c r="NGD74" s="278" t="n"/>
      <c r="NGE74" s="278" t="n"/>
      <c r="NGF74" s="278" t="n"/>
      <c r="NGG74" s="278" t="n"/>
      <c r="NGH74" s="278" t="n"/>
      <c r="NGI74" s="278" t="n"/>
      <c r="NGJ74" s="278" t="n"/>
      <c r="NGK74" s="278" t="n"/>
      <c r="NGL74" s="278" t="n"/>
      <c r="NGM74" s="278" t="n"/>
      <c r="NGN74" s="278" t="n"/>
      <c r="NGO74" s="278" t="n"/>
      <c r="NGP74" s="278" t="n"/>
      <c r="NGQ74" s="278" t="n"/>
      <c r="NGR74" s="278" t="n"/>
      <c r="NGS74" s="278" t="n"/>
      <c r="NGT74" s="278" t="n"/>
      <c r="NGU74" s="278" t="n"/>
      <c r="NGV74" s="278" t="n"/>
      <c r="NGW74" s="278" t="n"/>
      <c r="NGX74" s="278" t="n"/>
      <c r="NGY74" s="278" t="n"/>
      <c r="NGZ74" s="278" t="n"/>
      <c r="NHA74" s="278" t="n"/>
      <c r="NHB74" s="278" t="n"/>
      <c r="NHC74" s="278" t="n"/>
      <c r="NHD74" s="278" t="n"/>
      <c r="NHE74" s="278" t="n"/>
      <c r="NHF74" s="278" t="n"/>
      <c r="NHG74" s="278" t="n"/>
      <c r="NHH74" s="278" t="n"/>
      <c r="NHI74" s="278" t="n"/>
      <c r="NHJ74" s="278" t="n"/>
      <c r="NHK74" s="278" t="n"/>
      <c r="NHL74" s="278" t="n"/>
      <c r="NHM74" s="278" t="n"/>
      <c r="NHN74" s="278" t="n"/>
      <c r="NHO74" s="278" t="n"/>
      <c r="NHP74" s="278" t="n"/>
      <c r="NHQ74" s="278" t="n"/>
      <c r="NHR74" s="278" t="n"/>
      <c r="NHS74" s="278" t="n"/>
      <c r="NHT74" s="278" t="n"/>
      <c r="NHU74" s="278" t="n"/>
      <c r="NHV74" s="278" t="n"/>
      <c r="NHW74" s="278" t="n"/>
      <c r="NHX74" s="278" t="n"/>
      <c r="NHY74" s="278" t="n"/>
      <c r="NHZ74" s="278" t="n"/>
      <c r="NIA74" s="278" t="n"/>
      <c r="NIB74" s="278" t="n"/>
      <c r="NIC74" s="278" t="n"/>
      <c r="NID74" s="278" t="n"/>
      <c r="NIE74" s="278" t="n"/>
      <c r="NIF74" s="278" t="n"/>
      <c r="NIG74" s="278" t="n"/>
      <c r="NIH74" s="278" t="n"/>
      <c r="NII74" s="278" t="n"/>
      <c r="NIJ74" s="278" t="n"/>
      <c r="NIK74" s="278" t="n"/>
      <c r="NIL74" s="278" t="n"/>
      <c r="NIM74" s="278" t="n"/>
      <c r="NIN74" s="278" t="n"/>
      <c r="NIO74" s="278" t="n"/>
      <c r="NIP74" s="278" t="n"/>
      <c r="NIQ74" s="278" t="n"/>
      <c r="NIR74" s="278" t="n"/>
      <c r="NIS74" s="278" t="n"/>
      <c r="NIT74" s="278" t="n"/>
      <c r="NIU74" s="278" t="n"/>
      <c r="NIV74" s="278" t="n"/>
      <c r="NIW74" s="278" t="n"/>
      <c r="NIX74" s="278" t="n"/>
      <c r="NIY74" s="278" t="n"/>
      <c r="NIZ74" s="278" t="n"/>
      <c r="NJA74" s="278" t="n"/>
      <c r="NJB74" s="278" t="n"/>
      <c r="NJC74" s="278" t="n"/>
      <c r="NJD74" s="278" t="n"/>
      <c r="NJE74" s="278" t="n"/>
      <c r="NJF74" s="278" t="n"/>
      <c r="NJG74" s="278" t="n"/>
      <c r="NJH74" s="278" t="n"/>
      <c r="NJI74" s="278" t="n"/>
      <c r="NJJ74" s="278" t="n"/>
      <c r="NJK74" s="278" t="n"/>
      <c r="NJL74" s="278" t="n"/>
      <c r="NJM74" s="278" t="n"/>
      <c r="NJN74" s="278" t="n"/>
      <c r="NJO74" s="278" t="n"/>
      <c r="NJP74" s="278" t="n"/>
      <c r="NJQ74" s="278" t="n"/>
      <c r="NJR74" s="278" t="n"/>
      <c r="NJS74" s="278" t="n"/>
      <c r="NJT74" s="278" t="n"/>
      <c r="NJU74" s="278" t="n"/>
      <c r="NJV74" s="278" t="n"/>
      <c r="NJW74" s="278" t="n"/>
      <c r="NJX74" s="278" t="n"/>
      <c r="NJY74" s="278" t="n"/>
      <c r="NJZ74" s="278" t="n"/>
      <c r="NKA74" s="278" t="n"/>
      <c r="NKB74" s="278" t="n"/>
      <c r="NKC74" s="278" t="n"/>
      <c r="NKD74" s="278" t="n"/>
      <c r="NKE74" s="278" t="n"/>
      <c r="NKF74" s="278" t="n"/>
      <c r="NKG74" s="278" t="n"/>
      <c r="NKH74" s="278" t="n"/>
      <c r="NKI74" s="278" t="n"/>
      <c r="NKJ74" s="278" t="n"/>
      <c r="NKK74" s="278" t="n"/>
      <c r="NKL74" s="278" t="n"/>
      <c r="NKM74" s="278" t="n"/>
      <c r="NKN74" s="278" t="n"/>
      <c r="NKO74" s="278" t="n"/>
      <c r="NKP74" s="278" t="n"/>
      <c r="NKQ74" s="278" t="n"/>
      <c r="NKR74" s="278" t="n"/>
      <c r="NKS74" s="278" t="n"/>
      <c r="NKT74" s="278" t="n"/>
      <c r="NKU74" s="278" t="n"/>
      <c r="NKV74" s="278" t="n"/>
      <c r="NKW74" s="278" t="n"/>
      <c r="NKX74" s="278" t="n"/>
      <c r="NKY74" s="278" t="n"/>
      <c r="NKZ74" s="278" t="n"/>
      <c r="NLA74" s="278" t="n"/>
      <c r="NLB74" s="278" t="n"/>
      <c r="NLC74" s="278" t="n"/>
      <c r="NLD74" s="278" t="n"/>
      <c r="NLE74" s="278" t="n"/>
      <c r="NLF74" s="278" t="n"/>
      <c r="NLG74" s="278" t="n"/>
      <c r="NLH74" s="278" t="n"/>
      <c r="NLI74" s="278" t="n"/>
      <c r="NLJ74" s="278" t="n"/>
      <c r="NLK74" s="278" t="n"/>
      <c r="NLL74" s="278" t="n"/>
      <c r="NLM74" s="278" t="n"/>
      <c r="NLN74" s="278" t="n"/>
      <c r="NLO74" s="278" t="n"/>
      <c r="NLP74" s="278" t="n"/>
      <c r="NLQ74" s="278" t="n"/>
      <c r="NLR74" s="278" t="n"/>
      <c r="NLS74" s="278" t="n"/>
      <c r="NLT74" s="278" t="n"/>
      <c r="NLU74" s="278" t="n"/>
      <c r="NLV74" s="278" t="n"/>
      <c r="NLW74" s="278" t="n"/>
      <c r="NLX74" s="278" t="n"/>
      <c r="NLY74" s="278" t="n"/>
      <c r="NLZ74" s="278" t="n"/>
      <c r="NMA74" s="278" t="n"/>
      <c r="NMB74" s="278" t="n"/>
      <c r="NMC74" s="278" t="n"/>
      <c r="NMD74" s="278" t="n"/>
      <c r="NME74" s="278" t="n"/>
      <c r="NMF74" s="278" t="n"/>
      <c r="NMG74" s="278" t="n"/>
      <c r="NMH74" s="278" t="n"/>
      <c r="NMI74" s="278" t="n"/>
      <c r="NMJ74" s="278" t="n"/>
      <c r="NMK74" s="278" t="n"/>
      <c r="NML74" s="278" t="n"/>
      <c r="NMM74" s="278" t="n"/>
      <c r="NMN74" s="278" t="n"/>
      <c r="NMO74" s="278" t="n"/>
      <c r="NMP74" s="278" t="n"/>
      <c r="NMQ74" s="278" t="n"/>
      <c r="NMR74" s="278" t="n"/>
      <c r="NMS74" s="278" t="n"/>
      <c r="NMT74" s="278" t="n"/>
      <c r="NMU74" s="278" t="n"/>
      <c r="NMV74" s="278" t="n"/>
      <c r="NMW74" s="278" t="n"/>
      <c r="NMX74" s="278" t="n"/>
      <c r="NMY74" s="278" t="n"/>
      <c r="NMZ74" s="278" t="n"/>
      <c r="NNA74" s="278" t="n"/>
      <c r="NNB74" s="278" t="n"/>
      <c r="NNC74" s="278" t="n"/>
      <c r="NND74" s="278" t="n"/>
      <c r="NNE74" s="278" t="n"/>
      <c r="NNF74" s="278" t="n"/>
      <c r="NNG74" s="278" t="n"/>
      <c r="NNH74" s="278" t="n"/>
      <c r="NNI74" s="278" t="n"/>
      <c r="NNJ74" s="278" t="n"/>
      <c r="NNK74" s="278" t="n"/>
      <c r="NNL74" s="278" t="n"/>
      <c r="NNM74" s="278" t="n"/>
      <c r="NNN74" s="278" t="n"/>
      <c r="NNO74" s="278" t="n"/>
      <c r="NNP74" s="278" t="n"/>
      <c r="NNQ74" s="278" t="n"/>
      <c r="NNR74" s="278" t="n"/>
      <c r="NNS74" s="278" t="n"/>
      <c r="NNT74" s="278" t="n"/>
      <c r="NNU74" s="278" t="n"/>
      <c r="NNV74" s="278" t="n"/>
      <c r="NNW74" s="278" t="n"/>
      <c r="NNX74" s="278" t="n"/>
      <c r="NNY74" s="278" t="n"/>
      <c r="NNZ74" s="278" t="n"/>
      <c r="NOA74" s="278" t="n"/>
      <c r="NOB74" s="278" t="n"/>
      <c r="NOC74" s="278" t="n"/>
      <c r="NOD74" s="278" t="n"/>
      <c r="NOE74" s="278" t="n"/>
      <c r="NOF74" s="278" t="n"/>
      <c r="NOG74" s="278" t="n"/>
      <c r="NOH74" s="278" t="n"/>
      <c r="NOI74" s="278" t="n"/>
      <c r="NOJ74" s="278" t="n"/>
      <c r="NOK74" s="278" t="n"/>
      <c r="NOL74" s="278" t="n"/>
      <c r="NOM74" s="278" t="n"/>
      <c r="NON74" s="278" t="n"/>
      <c r="NOO74" s="278" t="n"/>
      <c r="NOP74" s="278" t="n"/>
      <c r="NOQ74" s="278" t="n"/>
      <c r="NOR74" s="278" t="n"/>
      <c r="NOS74" s="278" t="n"/>
      <c r="NOT74" s="278" t="n"/>
      <c r="NOU74" s="278" t="n"/>
      <c r="NOV74" s="278" t="n"/>
      <c r="NOW74" s="278" t="n"/>
      <c r="NOX74" s="278" t="n"/>
      <c r="NOY74" s="278" t="n"/>
      <c r="NOZ74" s="278" t="n"/>
      <c r="NPA74" s="278" t="n"/>
      <c r="NPB74" s="278" t="n"/>
      <c r="NPC74" s="278" t="n"/>
      <c r="NPD74" s="278" t="n"/>
      <c r="NPE74" s="278" t="n"/>
      <c r="NPF74" s="278" t="n"/>
      <c r="NPG74" s="278" t="n"/>
      <c r="NPH74" s="278" t="n"/>
      <c r="NPI74" s="278" t="n"/>
      <c r="NPJ74" s="278" t="n"/>
      <c r="NPK74" s="278" t="n"/>
      <c r="NPL74" s="278" t="n"/>
      <c r="NPM74" s="278" t="n"/>
      <c r="NPN74" s="278" t="n"/>
      <c r="NPO74" s="278" t="n"/>
      <c r="NPP74" s="278" t="n"/>
      <c r="NPQ74" s="278" t="n"/>
      <c r="NPR74" s="278" t="n"/>
      <c r="NPS74" s="278" t="n"/>
      <c r="NPT74" s="278" t="n"/>
      <c r="NPU74" s="278" t="n"/>
      <c r="NPV74" s="278" t="n"/>
      <c r="NPW74" s="278" t="n"/>
      <c r="NPX74" s="278" t="n"/>
      <c r="NPY74" s="278" t="n"/>
      <c r="NPZ74" s="278" t="n"/>
      <c r="NQA74" s="278" t="n"/>
      <c r="NQB74" s="278" t="n"/>
      <c r="NQC74" s="278" t="n"/>
      <c r="NQD74" s="278" t="n"/>
      <c r="NQE74" s="278" t="n"/>
      <c r="NQF74" s="278" t="n"/>
      <c r="NQG74" s="278" t="n"/>
      <c r="NQH74" s="278" t="n"/>
      <c r="NQI74" s="278" t="n"/>
      <c r="NQJ74" s="278" t="n"/>
      <c r="NQK74" s="278" t="n"/>
      <c r="NQL74" s="278" t="n"/>
      <c r="NQM74" s="278" t="n"/>
      <c r="NQN74" s="278" t="n"/>
      <c r="NQO74" s="278" t="n"/>
      <c r="NQP74" s="278" t="n"/>
      <c r="NQQ74" s="278" t="n"/>
      <c r="NQR74" s="278" t="n"/>
      <c r="NQS74" s="278" t="n"/>
      <c r="NQT74" s="278" t="n"/>
      <c r="NQU74" s="278" t="n"/>
      <c r="NQV74" s="278" t="n"/>
      <c r="NQW74" s="278" t="n"/>
      <c r="NQX74" s="278" t="n"/>
      <c r="NQY74" s="278" t="n"/>
      <c r="NQZ74" s="278" t="n"/>
      <c r="NRA74" s="278" t="n"/>
      <c r="NRB74" s="278" t="n"/>
      <c r="NRC74" s="278" t="n"/>
      <c r="NRD74" s="278" t="n"/>
      <c r="NRE74" s="278" t="n"/>
      <c r="NRF74" s="278" t="n"/>
      <c r="NRG74" s="278" t="n"/>
      <c r="NRH74" s="278" t="n"/>
      <c r="NRI74" s="278" t="n"/>
      <c r="NRJ74" s="278" t="n"/>
      <c r="NRK74" s="278" t="n"/>
      <c r="NRL74" s="278" t="n"/>
      <c r="NRM74" s="278" t="n"/>
      <c r="NRN74" s="278" t="n"/>
      <c r="NRO74" s="278" t="n"/>
      <c r="NRP74" s="278" t="n"/>
      <c r="NRQ74" s="278" t="n"/>
      <c r="NRR74" s="278" t="n"/>
      <c r="NRS74" s="278" t="n"/>
      <c r="NRT74" s="278" t="n"/>
      <c r="NRU74" s="278" t="n"/>
      <c r="NRV74" s="278" t="n"/>
      <c r="NRW74" s="278" t="n"/>
      <c r="NRX74" s="278" t="n"/>
      <c r="NRY74" s="278" t="n"/>
      <c r="NRZ74" s="278" t="n"/>
      <c r="NSA74" s="278" t="n"/>
      <c r="NSB74" s="278" t="n"/>
      <c r="NSC74" s="278" t="n"/>
      <c r="NSD74" s="278" t="n"/>
      <c r="NSE74" s="278" t="n"/>
      <c r="NSF74" s="278" t="n"/>
      <c r="NSG74" s="278" t="n"/>
      <c r="NSH74" s="278" t="n"/>
      <c r="NSI74" s="278" t="n"/>
      <c r="NSJ74" s="278" t="n"/>
      <c r="NSK74" s="278" t="n"/>
      <c r="NSL74" s="278" t="n"/>
      <c r="NSM74" s="278" t="n"/>
      <c r="NSN74" s="278" t="n"/>
      <c r="NSO74" s="278" t="n"/>
      <c r="NSP74" s="278" t="n"/>
      <c r="NSQ74" s="278" t="n"/>
      <c r="NSR74" s="278" t="n"/>
      <c r="NSS74" s="278" t="n"/>
      <c r="NST74" s="278" t="n"/>
      <c r="NSU74" s="278" t="n"/>
      <c r="NSV74" s="278" t="n"/>
      <c r="NSW74" s="278" t="n"/>
      <c r="NSX74" s="278" t="n"/>
      <c r="NSY74" s="278" t="n"/>
      <c r="NSZ74" s="278" t="n"/>
      <c r="NTA74" s="278" t="n"/>
      <c r="NTB74" s="278" t="n"/>
      <c r="NTC74" s="278" t="n"/>
      <c r="NTD74" s="278" t="n"/>
      <c r="NTE74" s="278" t="n"/>
      <c r="NTF74" s="278" t="n"/>
      <c r="NTG74" s="278" t="n"/>
      <c r="NTH74" s="278" t="n"/>
      <c r="NTI74" s="278" t="n"/>
      <c r="NTJ74" s="278" t="n"/>
      <c r="NTK74" s="278" t="n"/>
      <c r="NTL74" s="278" t="n"/>
      <c r="NTM74" s="278" t="n"/>
      <c r="NTN74" s="278" t="n"/>
      <c r="NTO74" s="278" t="n"/>
      <c r="NTP74" s="278" t="n"/>
      <c r="NTQ74" s="278" t="n"/>
      <c r="NTR74" s="278" t="n"/>
      <c r="NTS74" s="278" t="n"/>
      <c r="NTT74" s="278" t="n"/>
      <c r="NTU74" s="278" t="n"/>
      <c r="NTV74" s="278" t="n"/>
      <c r="NTW74" s="278" t="n"/>
      <c r="NTX74" s="278" t="n"/>
      <c r="NTY74" s="278" t="n"/>
      <c r="NTZ74" s="278" t="n"/>
      <c r="NUA74" s="278" t="n"/>
      <c r="NUB74" s="278" t="n"/>
      <c r="NUC74" s="278" t="n"/>
      <c r="NUD74" s="278" t="n"/>
      <c r="NUE74" s="278" t="n"/>
      <c r="NUF74" s="278" t="n"/>
      <c r="NUG74" s="278" t="n"/>
      <c r="NUH74" s="278" t="n"/>
      <c r="NUI74" s="278" t="n"/>
      <c r="NUJ74" s="278" t="n"/>
      <c r="NUK74" s="278" t="n"/>
      <c r="NUL74" s="278" t="n"/>
      <c r="NUM74" s="278" t="n"/>
      <c r="NUN74" s="278" t="n"/>
      <c r="NUO74" s="278" t="n"/>
      <c r="NUP74" s="278" t="n"/>
      <c r="NUQ74" s="278" t="n"/>
      <c r="NUR74" s="278" t="n"/>
      <c r="NUS74" s="278" t="n"/>
      <c r="NUT74" s="278" t="n"/>
      <c r="NUU74" s="278" t="n"/>
      <c r="NUV74" s="278" t="n"/>
      <c r="NUW74" s="278" t="n"/>
      <c r="NUX74" s="278" t="n"/>
      <c r="NUY74" s="278" t="n"/>
      <c r="NUZ74" s="278" t="n"/>
      <c r="NVA74" s="278" t="n"/>
      <c r="NVB74" s="278" t="n"/>
      <c r="NVC74" s="278" t="n"/>
      <c r="NVD74" s="278" t="n"/>
      <c r="NVE74" s="278" t="n"/>
      <c r="NVF74" s="278" t="n"/>
      <c r="NVG74" s="278" t="n"/>
      <c r="NVH74" s="278" t="n"/>
      <c r="NVI74" s="278" t="n"/>
      <c r="NVJ74" s="278" t="n"/>
      <c r="NVK74" s="278" t="n"/>
      <c r="NVL74" s="278" t="n"/>
      <c r="NVM74" s="278" t="n"/>
      <c r="NVN74" s="278" t="n"/>
      <c r="NVO74" s="278" t="n"/>
      <c r="NVP74" s="278" t="n"/>
      <c r="NVQ74" s="278" t="n"/>
      <c r="NVR74" s="278" t="n"/>
      <c r="NVS74" s="278" t="n"/>
      <c r="NVT74" s="278" t="n"/>
      <c r="NVU74" s="278" t="n"/>
      <c r="NVV74" s="278" t="n"/>
      <c r="NVW74" s="278" t="n"/>
      <c r="NVX74" s="278" t="n"/>
      <c r="NVY74" s="278" t="n"/>
      <c r="NVZ74" s="278" t="n"/>
      <c r="NWA74" s="278" t="n"/>
      <c r="NWB74" s="278" t="n"/>
      <c r="NWC74" s="278" t="n"/>
      <c r="NWD74" s="278" t="n"/>
      <c r="NWE74" s="278" t="n"/>
      <c r="NWF74" s="278" t="n"/>
      <c r="NWG74" s="278" t="n"/>
      <c r="NWH74" s="278" t="n"/>
      <c r="NWI74" s="278" t="n"/>
      <c r="NWJ74" s="278" t="n"/>
      <c r="NWK74" s="278" t="n"/>
      <c r="NWL74" s="278" t="n"/>
      <c r="NWM74" s="278" t="n"/>
      <c r="NWN74" s="278" t="n"/>
      <c r="NWO74" s="278" t="n"/>
      <c r="NWP74" s="278" t="n"/>
      <c r="NWQ74" s="278" t="n"/>
      <c r="NWR74" s="278" t="n"/>
      <c r="NWS74" s="278" t="n"/>
      <c r="NWT74" s="278" t="n"/>
      <c r="NWU74" s="278" t="n"/>
      <c r="NWV74" s="278" t="n"/>
      <c r="NWW74" s="278" t="n"/>
      <c r="NWX74" s="278" t="n"/>
      <c r="NWY74" s="278" t="n"/>
      <c r="NWZ74" s="278" t="n"/>
      <c r="NXA74" s="278" t="n"/>
      <c r="NXB74" s="278" t="n"/>
      <c r="NXC74" s="278" t="n"/>
      <c r="NXD74" s="278" t="n"/>
      <c r="NXE74" s="278" t="n"/>
      <c r="NXF74" s="278" t="n"/>
      <c r="NXG74" s="278" t="n"/>
      <c r="NXH74" s="278" t="n"/>
      <c r="NXI74" s="278" t="n"/>
      <c r="NXJ74" s="278" t="n"/>
      <c r="NXK74" s="278" t="n"/>
      <c r="NXL74" s="278" t="n"/>
      <c r="NXM74" s="278" t="n"/>
      <c r="NXN74" s="278" t="n"/>
      <c r="NXO74" s="278" t="n"/>
      <c r="NXP74" s="278" t="n"/>
      <c r="NXQ74" s="278" t="n"/>
      <c r="NXR74" s="278" t="n"/>
      <c r="NXS74" s="278" t="n"/>
      <c r="NXT74" s="278" t="n"/>
      <c r="NXU74" s="278" t="n"/>
      <c r="NXV74" s="278" t="n"/>
      <c r="NXW74" s="278" t="n"/>
      <c r="NXX74" s="278" t="n"/>
      <c r="NXY74" s="278" t="n"/>
      <c r="NXZ74" s="278" t="n"/>
      <c r="NYA74" s="278" t="n"/>
      <c r="NYB74" s="278" t="n"/>
      <c r="NYC74" s="278" t="n"/>
      <c r="NYD74" s="278" t="n"/>
      <c r="NYE74" s="278" t="n"/>
      <c r="NYF74" s="278" t="n"/>
      <c r="NYG74" s="278" t="n"/>
      <c r="NYH74" s="278" t="n"/>
      <c r="NYI74" s="278" t="n"/>
      <c r="NYJ74" s="278" t="n"/>
      <c r="NYK74" s="278" t="n"/>
      <c r="NYL74" s="278" t="n"/>
      <c r="NYM74" s="278" t="n"/>
      <c r="NYN74" s="278" t="n"/>
      <c r="NYO74" s="278" t="n"/>
      <c r="NYP74" s="278" t="n"/>
      <c r="NYQ74" s="278" t="n"/>
      <c r="NYR74" s="278" t="n"/>
      <c r="NYS74" s="278" t="n"/>
      <c r="NYT74" s="278" t="n"/>
      <c r="NYU74" s="278" t="n"/>
      <c r="NYV74" s="278" t="n"/>
      <c r="NYW74" s="278" t="n"/>
      <c r="NYX74" s="278" t="n"/>
      <c r="NYY74" s="278" t="n"/>
      <c r="NYZ74" s="278" t="n"/>
      <c r="NZA74" s="278" t="n"/>
      <c r="NZB74" s="278" t="n"/>
      <c r="NZC74" s="278" t="n"/>
      <c r="NZD74" s="278" t="n"/>
      <c r="NZE74" s="278" t="n"/>
      <c r="NZF74" s="278" t="n"/>
      <c r="NZG74" s="278" t="n"/>
      <c r="NZH74" s="278" t="n"/>
      <c r="NZI74" s="278" t="n"/>
      <c r="NZJ74" s="278" t="n"/>
      <c r="NZK74" s="278" t="n"/>
      <c r="NZL74" s="278" t="n"/>
      <c r="NZM74" s="278" t="n"/>
      <c r="NZN74" s="278" t="n"/>
      <c r="NZO74" s="278" t="n"/>
      <c r="NZP74" s="278" t="n"/>
      <c r="NZQ74" s="278" t="n"/>
      <c r="NZR74" s="278" t="n"/>
      <c r="NZS74" s="278" t="n"/>
      <c r="NZT74" s="278" t="n"/>
      <c r="NZU74" s="278" t="n"/>
      <c r="NZV74" s="278" t="n"/>
      <c r="NZW74" s="278" t="n"/>
      <c r="NZX74" s="278" t="n"/>
      <c r="NZY74" s="278" t="n"/>
      <c r="NZZ74" s="278" t="n"/>
      <c r="OAA74" s="278" t="n"/>
      <c r="OAB74" s="278" t="n"/>
      <c r="OAC74" s="278" t="n"/>
      <c r="OAD74" s="278" t="n"/>
      <c r="OAE74" s="278" t="n"/>
      <c r="OAF74" s="278" t="n"/>
      <c r="OAG74" s="278" t="n"/>
      <c r="OAH74" s="278" t="n"/>
      <c r="OAI74" s="278" t="n"/>
      <c r="OAJ74" s="278" t="n"/>
      <c r="OAK74" s="278" t="n"/>
      <c r="OAL74" s="278" t="n"/>
      <c r="OAM74" s="278" t="n"/>
      <c r="OAN74" s="278" t="n"/>
      <c r="OAO74" s="278" t="n"/>
      <c r="OAP74" s="278" t="n"/>
      <c r="OAQ74" s="278" t="n"/>
      <c r="OAR74" s="278" t="n"/>
      <c r="OAS74" s="278" t="n"/>
      <c r="OAT74" s="278" t="n"/>
      <c r="OAU74" s="278" t="n"/>
      <c r="OAV74" s="278" t="n"/>
      <c r="OAW74" s="278" t="n"/>
      <c r="OAX74" s="278" t="n"/>
      <c r="OAY74" s="278" t="n"/>
      <c r="OAZ74" s="278" t="n"/>
      <c r="OBA74" s="278" t="n"/>
      <c r="OBB74" s="278" t="n"/>
      <c r="OBC74" s="278" t="n"/>
      <c r="OBD74" s="278" t="n"/>
      <c r="OBE74" s="278" t="n"/>
      <c r="OBF74" s="278" t="n"/>
      <c r="OBG74" s="278" t="n"/>
      <c r="OBH74" s="278" t="n"/>
      <c r="OBI74" s="278" t="n"/>
      <c r="OBJ74" s="278" t="n"/>
      <c r="OBK74" s="278" t="n"/>
      <c r="OBL74" s="278" t="n"/>
      <c r="OBM74" s="278" t="n"/>
      <c r="OBN74" s="278" t="n"/>
      <c r="OBO74" s="278" t="n"/>
      <c r="OBP74" s="278" t="n"/>
      <c r="OBQ74" s="278" t="n"/>
      <c r="OBR74" s="278" t="n"/>
      <c r="OBS74" s="278" t="n"/>
      <c r="OBT74" s="278" t="n"/>
      <c r="OBU74" s="278" t="n"/>
      <c r="OBV74" s="278" t="n"/>
      <c r="OBW74" s="278" t="n"/>
      <c r="OBX74" s="278" t="n"/>
      <c r="OBY74" s="278" t="n"/>
      <c r="OBZ74" s="278" t="n"/>
      <c r="OCA74" s="278" t="n"/>
      <c r="OCB74" s="278" t="n"/>
      <c r="OCC74" s="278" t="n"/>
      <c r="OCD74" s="278" t="n"/>
      <c r="OCE74" s="278" t="n"/>
      <c r="OCF74" s="278" t="n"/>
      <c r="OCG74" s="278" t="n"/>
      <c r="OCH74" s="278" t="n"/>
      <c r="OCI74" s="278" t="n"/>
      <c r="OCJ74" s="278" t="n"/>
      <c r="OCK74" s="278" t="n"/>
      <c r="OCL74" s="278" t="n"/>
      <c r="OCM74" s="278" t="n"/>
      <c r="OCN74" s="278" t="n"/>
      <c r="OCO74" s="278" t="n"/>
      <c r="OCP74" s="278" t="n"/>
      <c r="OCQ74" s="278" t="n"/>
      <c r="OCR74" s="278" t="n"/>
      <c r="OCS74" s="278" t="n"/>
      <c r="OCT74" s="278" t="n"/>
      <c r="OCU74" s="278" t="n"/>
      <c r="OCV74" s="278" t="n"/>
      <c r="OCW74" s="278" t="n"/>
      <c r="OCX74" s="278" t="n"/>
      <c r="OCY74" s="278" t="n"/>
      <c r="OCZ74" s="278" t="n"/>
      <c r="ODA74" s="278" t="n"/>
      <c r="ODB74" s="278" t="n"/>
      <c r="ODC74" s="278" t="n"/>
      <c r="ODD74" s="278" t="n"/>
      <c r="ODE74" s="278" t="n"/>
      <c r="ODF74" s="278" t="n"/>
      <c r="ODG74" s="278" t="n"/>
      <c r="ODH74" s="278" t="n"/>
      <c r="ODI74" s="278" t="n"/>
      <c r="ODJ74" s="278" t="n"/>
      <c r="ODK74" s="278" t="n"/>
      <c r="ODL74" s="278" t="n"/>
      <c r="ODM74" s="278" t="n"/>
      <c r="ODN74" s="278" t="n"/>
      <c r="ODO74" s="278" t="n"/>
      <c r="ODP74" s="278" t="n"/>
      <c r="ODQ74" s="278" t="n"/>
      <c r="ODR74" s="278" t="n"/>
      <c r="ODS74" s="278" t="n"/>
      <c r="ODT74" s="278" t="n"/>
      <c r="ODU74" s="278" t="n"/>
      <c r="ODV74" s="278" t="n"/>
      <c r="ODW74" s="278" t="n"/>
      <c r="ODX74" s="278" t="n"/>
      <c r="ODY74" s="278" t="n"/>
      <c r="ODZ74" s="278" t="n"/>
      <c r="OEA74" s="278" t="n"/>
      <c r="OEB74" s="278" t="n"/>
      <c r="OEC74" s="278" t="n"/>
      <c r="OED74" s="278" t="n"/>
      <c r="OEE74" s="278" t="n"/>
      <c r="OEF74" s="278" t="n"/>
      <c r="OEG74" s="278" t="n"/>
      <c r="OEH74" s="278" t="n"/>
      <c r="OEI74" s="278" t="n"/>
      <c r="OEJ74" s="278" t="n"/>
      <c r="OEK74" s="278" t="n"/>
      <c r="OEL74" s="278" t="n"/>
      <c r="OEM74" s="278" t="n"/>
      <c r="OEN74" s="278" t="n"/>
      <c r="OEO74" s="278" t="n"/>
      <c r="OEP74" s="278" t="n"/>
      <c r="OEQ74" s="278" t="n"/>
      <c r="OER74" s="278" t="n"/>
      <c r="OES74" s="278" t="n"/>
      <c r="OET74" s="278" t="n"/>
      <c r="OEU74" s="278" t="n"/>
      <c r="OEV74" s="278" t="n"/>
      <c r="OEW74" s="278" t="n"/>
      <c r="OEX74" s="278" t="n"/>
      <c r="OEY74" s="278" t="n"/>
      <c r="OEZ74" s="278" t="n"/>
      <c r="OFA74" s="278" t="n"/>
      <c r="OFB74" s="278" t="n"/>
      <c r="OFC74" s="278" t="n"/>
      <c r="OFD74" s="278" t="n"/>
      <c r="OFE74" s="278" t="n"/>
      <c r="OFF74" s="278" t="n"/>
      <c r="OFG74" s="278" t="n"/>
      <c r="OFH74" s="278" t="n"/>
      <c r="OFI74" s="278" t="n"/>
      <c r="OFJ74" s="278" t="n"/>
      <c r="OFK74" s="278" t="n"/>
      <c r="OFL74" s="278" t="n"/>
      <c r="OFM74" s="278" t="n"/>
      <c r="OFN74" s="278" t="n"/>
      <c r="OFO74" s="278" t="n"/>
      <c r="OFP74" s="278" t="n"/>
      <c r="OFQ74" s="278" t="n"/>
      <c r="OFR74" s="278" t="n"/>
      <c r="OFS74" s="278" t="n"/>
      <c r="OFT74" s="278" t="n"/>
      <c r="OFU74" s="278" t="n"/>
      <c r="OFV74" s="278" t="n"/>
      <c r="OFW74" s="278" t="n"/>
      <c r="OFX74" s="278" t="n"/>
      <c r="OFY74" s="278" t="n"/>
      <c r="OFZ74" s="278" t="n"/>
      <c r="OGA74" s="278" t="n"/>
      <c r="OGB74" s="278" t="n"/>
      <c r="OGC74" s="278" t="n"/>
      <c r="OGD74" s="278" t="n"/>
      <c r="OGE74" s="278" t="n"/>
      <c r="OGF74" s="278" t="n"/>
      <c r="OGG74" s="278" t="n"/>
      <c r="OGH74" s="278" t="n"/>
      <c r="OGI74" s="278" t="n"/>
      <c r="OGJ74" s="278" t="n"/>
      <c r="OGK74" s="278" t="n"/>
      <c r="OGL74" s="278" t="n"/>
      <c r="OGM74" s="278" t="n"/>
      <c r="OGN74" s="278" t="n"/>
      <c r="OGO74" s="278" t="n"/>
      <c r="OGP74" s="278" t="n"/>
      <c r="OGQ74" s="278" t="n"/>
      <c r="OGR74" s="278" t="n"/>
      <c r="OGS74" s="278" t="n"/>
      <c r="OGT74" s="278" t="n"/>
      <c r="OGU74" s="278" t="n"/>
      <c r="OGV74" s="278" t="n"/>
      <c r="OGW74" s="278" t="n"/>
      <c r="OGX74" s="278" t="n"/>
      <c r="OGY74" s="278" t="n"/>
      <c r="OGZ74" s="278" t="n"/>
      <c r="OHA74" s="278" t="n"/>
      <c r="OHB74" s="278" t="n"/>
      <c r="OHC74" s="278" t="n"/>
      <c r="OHD74" s="278" t="n"/>
      <c r="OHE74" s="278" t="n"/>
      <c r="OHF74" s="278" t="n"/>
      <c r="OHG74" s="278" t="n"/>
      <c r="OHH74" s="278" t="n"/>
      <c r="OHI74" s="278" t="n"/>
      <c r="OHJ74" s="278" t="n"/>
      <c r="OHK74" s="278" t="n"/>
      <c r="OHL74" s="278" t="n"/>
      <c r="OHM74" s="278" t="n"/>
      <c r="OHN74" s="278" t="n"/>
      <c r="OHO74" s="278" t="n"/>
      <c r="OHP74" s="278" t="n"/>
      <c r="OHQ74" s="278" t="n"/>
      <c r="OHR74" s="278" t="n"/>
      <c r="OHS74" s="278" t="n"/>
      <c r="OHT74" s="278" t="n"/>
      <c r="OHU74" s="278" t="n"/>
      <c r="OHV74" s="278" t="n"/>
      <c r="OHW74" s="278" t="n"/>
      <c r="OHX74" s="278" t="n"/>
      <c r="OHY74" s="278" t="n"/>
      <c r="OHZ74" s="278" t="n"/>
      <c r="OIA74" s="278" t="n"/>
      <c r="OIB74" s="278" t="n"/>
      <c r="OIC74" s="278" t="n"/>
      <c r="OID74" s="278" t="n"/>
      <c r="OIE74" s="278" t="n"/>
      <c r="OIF74" s="278" t="n"/>
      <c r="OIG74" s="278" t="n"/>
      <c r="OIH74" s="278" t="n"/>
      <c r="OII74" s="278" t="n"/>
      <c r="OIJ74" s="278" t="n"/>
      <c r="OIK74" s="278" t="n"/>
      <c r="OIL74" s="278" t="n"/>
      <c r="OIM74" s="278" t="n"/>
      <c r="OIN74" s="278" t="n"/>
      <c r="OIO74" s="278" t="n"/>
      <c r="OIP74" s="278" t="n"/>
      <c r="OIQ74" s="278" t="n"/>
      <c r="OIR74" s="278" t="n"/>
      <c r="OIS74" s="278" t="n"/>
      <c r="OIT74" s="278" t="n"/>
      <c r="OIU74" s="278" t="n"/>
      <c r="OIV74" s="278" t="n"/>
      <c r="OIW74" s="278" t="n"/>
      <c r="OIX74" s="278" t="n"/>
      <c r="OIY74" s="278" t="n"/>
      <c r="OIZ74" s="278" t="n"/>
      <c r="OJA74" s="278" t="n"/>
      <c r="OJB74" s="278" t="n"/>
      <c r="OJC74" s="278" t="n"/>
      <c r="OJD74" s="278" t="n"/>
      <c r="OJE74" s="278" t="n"/>
      <c r="OJF74" s="278" t="n"/>
      <c r="OJG74" s="278" t="n"/>
      <c r="OJH74" s="278" t="n"/>
      <c r="OJI74" s="278" t="n"/>
      <c r="OJJ74" s="278" t="n"/>
      <c r="OJK74" s="278" t="n"/>
      <c r="OJL74" s="278" t="n"/>
      <c r="OJM74" s="278" t="n"/>
      <c r="OJN74" s="278" t="n"/>
      <c r="OJO74" s="278" t="n"/>
      <c r="OJP74" s="278" t="n"/>
      <c r="OJQ74" s="278" t="n"/>
      <c r="OJR74" s="278" t="n"/>
      <c r="OJS74" s="278" t="n"/>
      <c r="OJT74" s="278" t="n"/>
      <c r="OJU74" s="278" t="n"/>
      <c r="OJV74" s="278" t="n"/>
      <c r="OJW74" s="278" t="n"/>
      <c r="OJX74" s="278" t="n"/>
      <c r="OJY74" s="278" t="n"/>
      <c r="OJZ74" s="278" t="n"/>
      <c r="OKA74" s="278" t="n"/>
      <c r="OKB74" s="278" t="n"/>
      <c r="OKC74" s="278" t="n"/>
      <c r="OKD74" s="278" t="n"/>
      <c r="OKE74" s="278" t="n"/>
      <c r="OKF74" s="278" t="n"/>
      <c r="OKG74" s="278" t="n"/>
      <c r="OKH74" s="278" t="n"/>
      <c r="OKI74" s="278" t="n"/>
      <c r="OKJ74" s="278" t="n"/>
      <c r="OKK74" s="278" t="n"/>
      <c r="OKL74" s="278" t="n"/>
      <c r="OKM74" s="278" t="n"/>
      <c r="OKN74" s="278" t="n"/>
      <c r="OKO74" s="278" t="n"/>
      <c r="OKP74" s="278" t="n"/>
      <c r="OKQ74" s="278" t="n"/>
      <c r="OKR74" s="278" t="n"/>
      <c r="OKS74" s="278" t="n"/>
      <c r="OKT74" s="278" t="n"/>
      <c r="OKU74" s="278" t="n"/>
      <c r="OKV74" s="278" t="n"/>
      <c r="OKW74" s="278" t="n"/>
      <c r="OKX74" s="278" t="n"/>
      <c r="OKY74" s="278" t="n"/>
      <c r="OKZ74" s="278" t="n"/>
      <c r="OLA74" s="278" t="n"/>
      <c r="OLB74" s="278" t="n"/>
      <c r="OLC74" s="278" t="n"/>
      <c r="OLD74" s="278" t="n"/>
      <c r="OLE74" s="278" t="n"/>
      <c r="OLF74" s="278" t="n"/>
      <c r="OLG74" s="278" t="n"/>
      <c r="OLH74" s="278" t="n"/>
      <c r="OLI74" s="278" t="n"/>
      <c r="OLJ74" s="278" t="n"/>
      <c r="OLK74" s="278" t="n"/>
      <c r="OLL74" s="278" t="n"/>
      <c r="OLM74" s="278" t="n"/>
      <c r="OLN74" s="278" t="n"/>
      <c r="OLO74" s="278" t="n"/>
      <c r="OLP74" s="278" t="n"/>
      <c r="OLQ74" s="278" t="n"/>
      <c r="OLR74" s="278" t="n"/>
      <c r="OLS74" s="278" t="n"/>
      <c r="OLT74" s="278" t="n"/>
      <c r="OLU74" s="278" t="n"/>
      <c r="OLV74" s="278" t="n"/>
      <c r="OLW74" s="278" t="n"/>
      <c r="OLX74" s="278" t="n"/>
      <c r="OLY74" s="278" t="n"/>
      <c r="OLZ74" s="278" t="n"/>
      <c r="OMA74" s="278" t="n"/>
      <c r="OMB74" s="278" t="n"/>
      <c r="OMC74" s="278" t="n"/>
      <c r="OMD74" s="278" t="n"/>
      <c r="OME74" s="278" t="n"/>
      <c r="OMF74" s="278" t="n"/>
      <c r="OMG74" s="278" t="n"/>
      <c r="OMH74" s="278" t="n"/>
      <c r="OMI74" s="278" t="n"/>
      <c r="OMJ74" s="278" t="n"/>
      <c r="OMK74" s="278" t="n"/>
      <c r="OML74" s="278" t="n"/>
      <c r="OMM74" s="278" t="n"/>
      <c r="OMN74" s="278" t="n"/>
      <c r="OMO74" s="278" t="n"/>
      <c r="OMP74" s="278" t="n"/>
      <c r="OMQ74" s="278" t="n"/>
      <c r="OMR74" s="278" t="n"/>
      <c r="OMS74" s="278" t="n"/>
      <c r="OMT74" s="278" t="n"/>
      <c r="OMU74" s="278" t="n"/>
      <c r="OMV74" s="278" t="n"/>
      <c r="OMW74" s="278" t="n"/>
      <c r="OMX74" s="278" t="n"/>
      <c r="OMY74" s="278" t="n"/>
      <c r="OMZ74" s="278" t="n"/>
      <c r="ONA74" s="278" t="n"/>
      <c r="ONB74" s="278" t="n"/>
      <c r="ONC74" s="278" t="n"/>
      <c r="OND74" s="278" t="n"/>
      <c r="ONE74" s="278" t="n"/>
      <c r="ONF74" s="278" t="n"/>
      <c r="ONG74" s="278" t="n"/>
      <c r="ONH74" s="278" t="n"/>
      <c r="ONI74" s="278" t="n"/>
      <c r="ONJ74" s="278" t="n"/>
      <c r="ONK74" s="278" t="n"/>
      <c r="ONL74" s="278" t="n"/>
      <c r="ONM74" s="278" t="n"/>
      <c r="ONN74" s="278" t="n"/>
      <c r="ONO74" s="278" t="n"/>
      <c r="ONP74" s="278" t="n"/>
      <c r="ONQ74" s="278" t="n"/>
      <c r="ONR74" s="278" t="n"/>
      <c r="ONS74" s="278" t="n"/>
      <c r="ONT74" s="278" t="n"/>
      <c r="ONU74" s="278" t="n"/>
      <c r="ONV74" s="278" t="n"/>
      <c r="ONW74" s="278" t="n"/>
      <c r="ONX74" s="278" t="n"/>
      <c r="ONY74" s="278" t="n"/>
      <c r="ONZ74" s="278" t="n"/>
      <c r="OOA74" s="278" t="n"/>
      <c r="OOB74" s="278" t="n"/>
      <c r="OOC74" s="278" t="n"/>
      <c r="OOD74" s="278" t="n"/>
      <c r="OOE74" s="278" t="n"/>
      <c r="OOF74" s="278" t="n"/>
      <c r="OOG74" s="278" t="n"/>
      <c r="OOH74" s="278" t="n"/>
      <c r="OOI74" s="278" t="n"/>
      <c r="OOJ74" s="278" t="n"/>
      <c r="OOK74" s="278" t="n"/>
      <c r="OOL74" s="278" t="n"/>
      <c r="OOM74" s="278" t="n"/>
      <c r="OON74" s="278" t="n"/>
      <c r="OOO74" s="278" t="n"/>
      <c r="OOP74" s="278" t="n"/>
      <c r="OOQ74" s="278" t="n"/>
      <c r="OOR74" s="278" t="n"/>
      <c r="OOS74" s="278" t="n"/>
      <c r="OOT74" s="278" t="n"/>
      <c r="OOU74" s="278" t="n"/>
      <c r="OOV74" s="278" t="n"/>
      <c r="OOW74" s="278" t="n"/>
      <c r="OOX74" s="278" t="n"/>
      <c r="OOY74" s="278" t="n"/>
      <c r="OOZ74" s="278" t="n"/>
      <c r="OPA74" s="278" t="n"/>
      <c r="OPB74" s="278" t="n"/>
      <c r="OPC74" s="278" t="n"/>
      <c r="OPD74" s="278" t="n"/>
      <c r="OPE74" s="278" t="n"/>
      <c r="OPF74" s="278" t="n"/>
      <c r="OPG74" s="278" t="n"/>
      <c r="OPH74" s="278" t="n"/>
      <c r="OPI74" s="278" t="n"/>
      <c r="OPJ74" s="278" t="n"/>
      <c r="OPK74" s="278" t="n"/>
      <c r="OPL74" s="278" t="n"/>
      <c r="OPM74" s="278" t="n"/>
      <c r="OPN74" s="278" t="n"/>
      <c r="OPO74" s="278" t="n"/>
      <c r="OPP74" s="278" t="n"/>
      <c r="OPQ74" s="278" t="n"/>
      <c r="OPR74" s="278" t="n"/>
      <c r="OPS74" s="278" t="n"/>
      <c r="OPT74" s="278" t="n"/>
      <c r="OPU74" s="278" t="n"/>
      <c r="OPV74" s="278" t="n"/>
      <c r="OPW74" s="278" t="n"/>
      <c r="OPX74" s="278" t="n"/>
      <c r="OPY74" s="278" t="n"/>
      <c r="OPZ74" s="278" t="n"/>
      <c r="OQA74" s="278" t="n"/>
      <c r="OQB74" s="278" t="n"/>
      <c r="OQC74" s="278" t="n"/>
      <c r="OQD74" s="278" t="n"/>
      <c r="OQE74" s="278" t="n"/>
      <c r="OQF74" s="278" t="n"/>
      <c r="OQG74" s="278" t="n"/>
      <c r="OQH74" s="278" t="n"/>
      <c r="OQI74" s="278" t="n"/>
      <c r="OQJ74" s="278" t="n"/>
      <c r="OQK74" s="278" t="n"/>
      <c r="OQL74" s="278" t="n"/>
      <c r="OQM74" s="278" t="n"/>
      <c r="OQN74" s="278" t="n"/>
      <c r="OQO74" s="278" t="n"/>
      <c r="OQP74" s="278" t="n"/>
      <c r="OQQ74" s="278" t="n"/>
      <c r="OQR74" s="278" t="n"/>
      <c r="OQS74" s="278" t="n"/>
      <c r="OQT74" s="278" t="n"/>
      <c r="OQU74" s="278" t="n"/>
      <c r="OQV74" s="278" t="n"/>
      <c r="OQW74" s="278" t="n"/>
      <c r="OQX74" s="278" t="n"/>
      <c r="OQY74" s="278" t="n"/>
      <c r="OQZ74" s="278" t="n"/>
      <c r="ORA74" s="278" t="n"/>
      <c r="ORB74" s="278" t="n"/>
      <c r="ORC74" s="278" t="n"/>
      <c r="ORD74" s="278" t="n"/>
      <c r="ORE74" s="278" t="n"/>
      <c r="ORF74" s="278" t="n"/>
      <c r="ORG74" s="278" t="n"/>
      <c r="ORH74" s="278" t="n"/>
      <c r="ORI74" s="278" t="n"/>
      <c r="ORJ74" s="278" t="n"/>
      <c r="ORK74" s="278" t="n"/>
      <c r="ORL74" s="278" t="n"/>
      <c r="ORM74" s="278" t="n"/>
      <c r="ORN74" s="278" t="n"/>
      <c r="ORO74" s="278" t="n"/>
      <c r="ORP74" s="278" t="n"/>
      <c r="ORQ74" s="278" t="n"/>
      <c r="ORR74" s="278" t="n"/>
      <c r="ORS74" s="278" t="n"/>
      <c r="ORT74" s="278" t="n"/>
      <c r="ORU74" s="278" t="n"/>
      <c r="ORV74" s="278" t="n"/>
      <c r="ORW74" s="278" t="n"/>
      <c r="ORX74" s="278" t="n"/>
      <c r="ORY74" s="278" t="n"/>
      <c r="ORZ74" s="278" t="n"/>
      <c r="OSA74" s="278" t="n"/>
      <c r="OSB74" s="278" t="n"/>
      <c r="OSC74" s="278" t="n"/>
      <c r="OSD74" s="278" t="n"/>
      <c r="OSE74" s="278" t="n"/>
      <c r="OSF74" s="278" t="n"/>
      <c r="OSG74" s="278" t="n"/>
      <c r="OSH74" s="278" t="n"/>
      <c r="OSI74" s="278" t="n"/>
      <c r="OSJ74" s="278" t="n"/>
      <c r="OSK74" s="278" t="n"/>
      <c r="OSL74" s="278" t="n"/>
      <c r="OSM74" s="278" t="n"/>
      <c r="OSN74" s="278" t="n"/>
      <c r="OSO74" s="278" t="n"/>
      <c r="OSP74" s="278" t="n"/>
      <c r="OSQ74" s="278" t="n"/>
      <c r="OSR74" s="278" t="n"/>
      <c r="OSS74" s="278" t="n"/>
      <c r="OST74" s="278" t="n"/>
      <c r="OSU74" s="278" t="n"/>
      <c r="OSV74" s="278" t="n"/>
      <c r="OSW74" s="278" t="n"/>
      <c r="OSX74" s="278" t="n"/>
      <c r="OSY74" s="278" t="n"/>
      <c r="OSZ74" s="278" t="n"/>
      <c r="OTA74" s="278" t="n"/>
      <c r="OTB74" s="278" t="n"/>
      <c r="OTC74" s="278" t="n"/>
      <c r="OTD74" s="278" t="n"/>
      <c r="OTE74" s="278" t="n"/>
      <c r="OTF74" s="278" t="n"/>
      <c r="OTG74" s="278" t="n"/>
      <c r="OTH74" s="278" t="n"/>
      <c r="OTI74" s="278" t="n"/>
      <c r="OTJ74" s="278" t="n"/>
      <c r="OTK74" s="278" t="n"/>
      <c r="OTL74" s="278" t="n"/>
      <c r="OTM74" s="278" t="n"/>
      <c r="OTN74" s="278" t="n"/>
      <c r="OTO74" s="278" t="n"/>
      <c r="OTP74" s="278" t="n"/>
      <c r="OTQ74" s="278" t="n"/>
      <c r="OTR74" s="278" t="n"/>
      <c r="OTS74" s="278" t="n"/>
      <c r="OTT74" s="278" t="n"/>
      <c r="OTU74" s="278" t="n"/>
      <c r="OTV74" s="278" t="n"/>
      <c r="OTW74" s="278" t="n"/>
      <c r="OTX74" s="278" t="n"/>
      <c r="OTY74" s="278" t="n"/>
      <c r="OTZ74" s="278" t="n"/>
      <c r="OUA74" s="278" t="n"/>
      <c r="OUB74" s="278" t="n"/>
      <c r="OUC74" s="278" t="n"/>
      <c r="OUD74" s="278" t="n"/>
      <c r="OUE74" s="278" t="n"/>
      <c r="OUF74" s="278" t="n"/>
      <c r="OUG74" s="278" t="n"/>
      <c r="OUH74" s="278" t="n"/>
      <c r="OUI74" s="278" t="n"/>
      <c r="OUJ74" s="278" t="n"/>
      <c r="OUK74" s="278" t="n"/>
      <c r="OUL74" s="278" t="n"/>
      <c r="OUM74" s="278" t="n"/>
      <c r="OUN74" s="278" t="n"/>
      <c r="OUO74" s="278" t="n"/>
      <c r="OUP74" s="278" t="n"/>
      <c r="OUQ74" s="278" t="n"/>
      <c r="OUR74" s="278" t="n"/>
      <c r="OUS74" s="278" t="n"/>
      <c r="OUT74" s="278" t="n"/>
      <c r="OUU74" s="278" t="n"/>
      <c r="OUV74" s="278" t="n"/>
      <c r="OUW74" s="278" t="n"/>
      <c r="OUX74" s="278" t="n"/>
      <c r="OUY74" s="278" t="n"/>
      <c r="OUZ74" s="278" t="n"/>
      <c r="OVA74" s="278" t="n"/>
      <c r="OVB74" s="278" t="n"/>
      <c r="OVC74" s="278" t="n"/>
      <c r="OVD74" s="278" t="n"/>
      <c r="OVE74" s="278" t="n"/>
      <c r="OVF74" s="278" t="n"/>
      <c r="OVG74" s="278" t="n"/>
      <c r="OVH74" s="278" t="n"/>
      <c r="OVI74" s="278" t="n"/>
      <c r="OVJ74" s="278" t="n"/>
      <c r="OVK74" s="278" t="n"/>
      <c r="OVL74" s="278" t="n"/>
      <c r="OVM74" s="278" t="n"/>
      <c r="OVN74" s="278" t="n"/>
      <c r="OVO74" s="278" t="n"/>
      <c r="OVP74" s="278" t="n"/>
      <c r="OVQ74" s="278" t="n"/>
      <c r="OVR74" s="278" t="n"/>
      <c r="OVS74" s="278" t="n"/>
      <c r="OVT74" s="278" t="n"/>
      <c r="OVU74" s="278" t="n"/>
      <c r="OVV74" s="278" t="n"/>
      <c r="OVW74" s="278" t="n"/>
      <c r="OVX74" s="278" t="n"/>
      <c r="OVY74" s="278" t="n"/>
      <c r="OVZ74" s="278" t="n"/>
      <c r="OWA74" s="278" t="n"/>
      <c r="OWB74" s="278" t="n"/>
      <c r="OWC74" s="278" t="n"/>
      <c r="OWD74" s="278" t="n"/>
      <c r="OWE74" s="278" t="n"/>
      <c r="OWF74" s="278" t="n"/>
      <c r="OWG74" s="278" t="n"/>
      <c r="OWH74" s="278" t="n"/>
      <c r="OWI74" s="278" t="n"/>
      <c r="OWJ74" s="278" t="n"/>
      <c r="OWK74" s="278" t="n"/>
      <c r="OWL74" s="278" t="n"/>
      <c r="OWM74" s="278" t="n"/>
      <c r="OWN74" s="278" t="n"/>
      <c r="OWO74" s="278" t="n"/>
      <c r="OWP74" s="278" t="n"/>
      <c r="OWQ74" s="278" t="n"/>
      <c r="OWR74" s="278" t="n"/>
      <c r="OWS74" s="278" t="n"/>
      <c r="OWT74" s="278" t="n"/>
      <c r="OWU74" s="278" t="n"/>
      <c r="OWV74" s="278" t="n"/>
      <c r="OWW74" s="278" t="n"/>
      <c r="OWX74" s="278" t="n"/>
      <c r="OWY74" s="278" t="n"/>
      <c r="OWZ74" s="278" t="n"/>
      <c r="OXA74" s="278" t="n"/>
      <c r="OXB74" s="278" t="n"/>
      <c r="OXC74" s="278" t="n"/>
      <c r="OXD74" s="278" t="n"/>
      <c r="OXE74" s="278" t="n"/>
      <c r="OXF74" s="278" t="n"/>
      <c r="OXG74" s="278" t="n"/>
      <c r="OXH74" s="278" t="n"/>
      <c r="OXI74" s="278" t="n"/>
      <c r="OXJ74" s="278" t="n"/>
      <c r="OXK74" s="278" t="n"/>
      <c r="OXL74" s="278" t="n"/>
      <c r="OXM74" s="278" t="n"/>
      <c r="OXN74" s="278" t="n"/>
      <c r="OXO74" s="278" t="n"/>
      <c r="OXP74" s="278" t="n"/>
      <c r="OXQ74" s="278" t="n"/>
      <c r="OXR74" s="278" t="n"/>
      <c r="OXS74" s="278" t="n"/>
      <c r="OXT74" s="278" t="n"/>
      <c r="OXU74" s="278" t="n"/>
      <c r="OXV74" s="278" t="n"/>
      <c r="OXW74" s="278" t="n"/>
      <c r="OXX74" s="278" t="n"/>
      <c r="OXY74" s="278" t="n"/>
      <c r="OXZ74" s="278" t="n"/>
      <c r="OYA74" s="278" t="n"/>
      <c r="OYB74" s="278" t="n"/>
      <c r="OYC74" s="278" t="n"/>
      <c r="OYD74" s="278" t="n"/>
      <c r="OYE74" s="278" t="n"/>
      <c r="OYF74" s="278" t="n"/>
      <c r="OYG74" s="278" t="n"/>
      <c r="OYH74" s="278" t="n"/>
      <c r="OYI74" s="278" t="n"/>
      <c r="OYJ74" s="278" t="n"/>
      <c r="OYK74" s="278" t="n"/>
      <c r="OYL74" s="278" t="n"/>
      <c r="OYM74" s="278" t="n"/>
      <c r="OYN74" s="278" t="n"/>
      <c r="OYO74" s="278" t="n"/>
      <c r="OYP74" s="278" t="n"/>
      <c r="OYQ74" s="278" t="n"/>
      <c r="OYR74" s="278" t="n"/>
      <c r="OYS74" s="278" t="n"/>
      <c r="OYT74" s="278" t="n"/>
      <c r="OYU74" s="278" t="n"/>
      <c r="OYV74" s="278" t="n"/>
      <c r="OYW74" s="278" t="n"/>
      <c r="OYX74" s="278" t="n"/>
      <c r="OYY74" s="278" t="n"/>
      <c r="OYZ74" s="278" t="n"/>
      <c r="OZA74" s="278" t="n"/>
      <c r="OZB74" s="278" t="n"/>
      <c r="OZC74" s="278" t="n"/>
      <c r="OZD74" s="278" t="n"/>
      <c r="OZE74" s="278" t="n"/>
      <c r="OZF74" s="278" t="n"/>
      <c r="OZG74" s="278" t="n"/>
      <c r="OZH74" s="278" t="n"/>
      <c r="OZI74" s="278" t="n"/>
      <c r="OZJ74" s="278" t="n"/>
      <c r="OZK74" s="278" t="n"/>
      <c r="OZL74" s="278" t="n"/>
      <c r="OZM74" s="278" t="n"/>
      <c r="OZN74" s="278" t="n"/>
      <c r="OZO74" s="278" t="n"/>
      <c r="OZP74" s="278" t="n"/>
      <c r="OZQ74" s="278" t="n"/>
      <c r="OZR74" s="278" t="n"/>
      <c r="OZS74" s="278" t="n"/>
      <c r="OZT74" s="278" t="n"/>
      <c r="OZU74" s="278" t="n"/>
      <c r="OZV74" s="278" t="n"/>
      <c r="OZW74" s="278" t="n"/>
      <c r="OZX74" s="278" t="n"/>
      <c r="OZY74" s="278" t="n"/>
      <c r="OZZ74" s="278" t="n"/>
      <c r="PAA74" s="278" t="n"/>
      <c r="PAB74" s="278" t="n"/>
      <c r="PAC74" s="278" t="n"/>
      <c r="PAD74" s="278" t="n"/>
      <c r="PAE74" s="278" t="n"/>
      <c r="PAF74" s="278" t="n"/>
      <c r="PAG74" s="278" t="n"/>
      <c r="PAH74" s="278" t="n"/>
      <c r="PAI74" s="278" t="n"/>
      <c r="PAJ74" s="278" t="n"/>
      <c r="PAK74" s="278" t="n"/>
      <c r="PAL74" s="278" t="n"/>
      <c r="PAM74" s="278" t="n"/>
      <c r="PAN74" s="278" t="n"/>
      <c r="PAO74" s="278" t="n"/>
      <c r="PAP74" s="278" t="n"/>
      <c r="PAQ74" s="278" t="n"/>
      <c r="PAR74" s="278" t="n"/>
      <c r="PAS74" s="278" t="n"/>
      <c r="PAT74" s="278" t="n"/>
      <c r="PAU74" s="278" t="n"/>
      <c r="PAV74" s="278" t="n"/>
      <c r="PAW74" s="278" t="n"/>
      <c r="PAX74" s="278" t="n"/>
      <c r="PAY74" s="278" t="n"/>
      <c r="PAZ74" s="278" t="n"/>
      <c r="PBA74" s="278" t="n"/>
      <c r="PBB74" s="278" t="n"/>
      <c r="PBC74" s="278" t="n"/>
      <c r="PBD74" s="278" t="n"/>
      <c r="PBE74" s="278" t="n"/>
      <c r="PBF74" s="278" t="n"/>
      <c r="PBG74" s="278" t="n"/>
      <c r="PBH74" s="278" t="n"/>
      <c r="PBI74" s="278" t="n"/>
      <c r="PBJ74" s="278" t="n"/>
      <c r="PBK74" s="278" t="n"/>
      <c r="PBL74" s="278" t="n"/>
      <c r="PBM74" s="278" t="n"/>
      <c r="PBN74" s="278" t="n"/>
      <c r="PBO74" s="278" t="n"/>
      <c r="PBP74" s="278" t="n"/>
      <c r="PBQ74" s="278" t="n"/>
      <c r="PBR74" s="278" t="n"/>
      <c r="PBS74" s="278" t="n"/>
      <c r="PBT74" s="278" t="n"/>
      <c r="PBU74" s="278" t="n"/>
      <c r="PBV74" s="278" t="n"/>
      <c r="PBW74" s="278" t="n"/>
      <c r="PBX74" s="278" t="n"/>
      <c r="PBY74" s="278" t="n"/>
      <c r="PBZ74" s="278" t="n"/>
      <c r="PCA74" s="278" t="n"/>
      <c r="PCB74" s="278" t="n"/>
      <c r="PCC74" s="278" t="n"/>
      <c r="PCD74" s="278" t="n"/>
      <c r="PCE74" s="278" t="n"/>
      <c r="PCF74" s="278" t="n"/>
      <c r="PCG74" s="278" t="n"/>
      <c r="PCH74" s="278" t="n"/>
      <c r="PCI74" s="278" t="n"/>
      <c r="PCJ74" s="278" t="n"/>
      <c r="PCK74" s="278" t="n"/>
      <c r="PCL74" s="278" t="n"/>
      <c r="PCM74" s="278" t="n"/>
      <c r="PCN74" s="278" t="n"/>
      <c r="PCO74" s="278" t="n"/>
      <c r="PCP74" s="278" t="n"/>
      <c r="PCQ74" s="278" t="n"/>
      <c r="PCR74" s="278" t="n"/>
      <c r="PCS74" s="278" t="n"/>
      <c r="PCT74" s="278" t="n"/>
      <c r="PCU74" s="278" t="n"/>
      <c r="PCV74" s="278" t="n"/>
      <c r="PCW74" s="278" t="n"/>
      <c r="PCX74" s="278" t="n"/>
      <c r="PCY74" s="278" t="n"/>
      <c r="PCZ74" s="278" t="n"/>
      <c r="PDA74" s="278" t="n"/>
      <c r="PDB74" s="278" t="n"/>
      <c r="PDC74" s="278" t="n"/>
      <c r="PDD74" s="278" t="n"/>
      <c r="PDE74" s="278" t="n"/>
      <c r="PDF74" s="278" t="n"/>
      <c r="PDG74" s="278" t="n"/>
      <c r="PDH74" s="278" t="n"/>
      <c r="PDI74" s="278" t="n"/>
      <c r="PDJ74" s="278" t="n"/>
      <c r="PDK74" s="278" t="n"/>
      <c r="PDL74" s="278" t="n"/>
      <c r="PDM74" s="278" t="n"/>
      <c r="PDN74" s="278" t="n"/>
      <c r="PDO74" s="278" t="n"/>
      <c r="PDP74" s="278" t="n"/>
      <c r="PDQ74" s="278" t="n"/>
      <c r="PDR74" s="278" t="n"/>
      <c r="PDS74" s="278" t="n"/>
      <c r="PDT74" s="278" t="n"/>
      <c r="PDU74" s="278" t="n"/>
      <c r="PDV74" s="278" t="n"/>
      <c r="PDW74" s="278" t="n"/>
      <c r="PDX74" s="278" t="n"/>
      <c r="PDY74" s="278" t="n"/>
      <c r="PDZ74" s="278" t="n"/>
      <c r="PEA74" s="278" t="n"/>
      <c r="PEB74" s="278" t="n"/>
      <c r="PEC74" s="278" t="n"/>
      <c r="PED74" s="278" t="n"/>
      <c r="PEE74" s="278" t="n"/>
      <c r="PEF74" s="278" t="n"/>
      <c r="PEG74" s="278" t="n"/>
      <c r="PEH74" s="278" t="n"/>
      <c r="PEI74" s="278" t="n"/>
      <c r="PEJ74" s="278" t="n"/>
      <c r="PEK74" s="278" t="n"/>
      <c r="PEL74" s="278" t="n"/>
      <c r="PEM74" s="278" t="n"/>
      <c r="PEN74" s="278" t="n"/>
      <c r="PEO74" s="278" t="n"/>
      <c r="PEP74" s="278" t="n"/>
      <c r="PEQ74" s="278" t="n"/>
      <c r="PER74" s="278" t="n"/>
      <c r="PES74" s="278" t="n"/>
      <c r="PET74" s="278" t="n"/>
      <c r="PEU74" s="278" t="n"/>
      <c r="PEV74" s="278" t="n"/>
      <c r="PEW74" s="278" t="n"/>
      <c r="PEX74" s="278" t="n"/>
      <c r="PEY74" s="278" t="n"/>
      <c r="PEZ74" s="278" t="n"/>
      <c r="PFA74" s="278" t="n"/>
      <c r="PFB74" s="278" t="n"/>
      <c r="PFC74" s="278" t="n"/>
      <c r="PFD74" s="278" t="n"/>
      <c r="PFE74" s="278" t="n"/>
      <c r="PFF74" s="278" t="n"/>
      <c r="PFG74" s="278" t="n"/>
      <c r="PFH74" s="278" t="n"/>
      <c r="PFI74" s="278" t="n"/>
      <c r="PFJ74" s="278" t="n"/>
      <c r="PFK74" s="278" t="n"/>
      <c r="PFL74" s="278" t="n"/>
      <c r="PFM74" s="278" t="n"/>
      <c r="PFN74" s="278" t="n"/>
      <c r="PFO74" s="278" t="n"/>
      <c r="PFP74" s="278" t="n"/>
      <c r="PFQ74" s="278" t="n"/>
      <c r="PFR74" s="278" t="n"/>
      <c r="PFS74" s="278" t="n"/>
      <c r="PFT74" s="278" t="n"/>
      <c r="PFU74" s="278" t="n"/>
      <c r="PFV74" s="278" t="n"/>
      <c r="PFW74" s="278" t="n"/>
      <c r="PFX74" s="278" t="n"/>
      <c r="PFY74" s="278" t="n"/>
      <c r="PFZ74" s="278" t="n"/>
      <c r="PGA74" s="278" t="n"/>
      <c r="PGB74" s="278" t="n"/>
      <c r="PGC74" s="278" t="n"/>
      <c r="PGD74" s="278" t="n"/>
      <c r="PGE74" s="278" t="n"/>
      <c r="PGF74" s="278" t="n"/>
      <c r="PGG74" s="278" t="n"/>
      <c r="PGH74" s="278" t="n"/>
      <c r="PGI74" s="278" t="n"/>
      <c r="PGJ74" s="278" t="n"/>
      <c r="PGK74" s="278" t="n"/>
      <c r="PGL74" s="278" t="n"/>
      <c r="PGM74" s="278" t="n"/>
      <c r="PGN74" s="278" t="n"/>
      <c r="PGO74" s="278" t="n"/>
      <c r="PGP74" s="278" t="n"/>
      <c r="PGQ74" s="278" t="n"/>
      <c r="PGR74" s="278" t="n"/>
      <c r="PGS74" s="278" t="n"/>
      <c r="PGT74" s="278" t="n"/>
      <c r="PGU74" s="278" t="n"/>
      <c r="PGV74" s="278" t="n"/>
      <c r="PGW74" s="278" t="n"/>
      <c r="PGX74" s="278" t="n"/>
      <c r="PGY74" s="278" t="n"/>
      <c r="PGZ74" s="278" t="n"/>
      <c r="PHA74" s="278" t="n"/>
      <c r="PHB74" s="278" t="n"/>
      <c r="PHC74" s="278" t="n"/>
      <c r="PHD74" s="278" t="n"/>
      <c r="PHE74" s="278" t="n"/>
      <c r="PHF74" s="278" t="n"/>
      <c r="PHG74" s="278" t="n"/>
      <c r="PHH74" s="278" t="n"/>
      <c r="PHI74" s="278" t="n"/>
      <c r="PHJ74" s="278" t="n"/>
      <c r="PHK74" s="278" t="n"/>
      <c r="PHL74" s="278" t="n"/>
      <c r="PHM74" s="278" t="n"/>
      <c r="PHN74" s="278" t="n"/>
      <c r="PHO74" s="278" t="n"/>
      <c r="PHP74" s="278" t="n"/>
      <c r="PHQ74" s="278" t="n"/>
      <c r="PHR74" s="278" t="n"/>
      <c r="PHS74" s="278" t="n"/>
      <c r="PHT74" s="278" t="n"/>
      <c r="PHU74" s="278" t="n"/>
      <c r="PHV74" s="278" t="n"/>
      <c r="PHW74" s="278" t="n"/>
      <c r="PHX74" s="278" t="n"/>
      <c r="PHY74" s="278" t="n"/>
      <c r="PHZ74" s="278" t="n"/>
      <c r="PIA74" s="278" t="n"/>
      <c r="PIB74" s="278" t="n"/>
      <c r="PIC74" s="278" t="n"/>
      <c r="PID74" s="278" t="n"/>
      <c r="PIE74" s="278" t="n"/>
      <c r="PIF74" s="278" t="n"/>
      <c r="PIG74" s="278" t="n"/>
      <c r="PIH74" s="278" t="n"/>
      <c r="PII74" s="278" t="n"/>
      <c r="PIJ74" s="278" t="n"/>
      <c r="PIK74" s="278" t="n"/>
      <c r="PIL74" s="278" t="n"/>
      <c r="PIM74" s="278" t="n"/>
      <c r="PIN74" s="278" t="n"/>
      <c r="PIO74" s="278" t="n"/>
      <c r="PIP74" s="278" t="n"/>
      <c r="PIQ74" s="278" t="n"/>
      <c r="PIR74" s="278" t="n"/>
      <c r="PIS74" s="278" t="n"/>
      <c r="PIT74" s="278" t="n"/>
      <c r="PIU74" s="278" t="n"/>
      <c r="PIV74" s="278" t="n"/>
      <c r="PIW74" s="278" t="n"/>
      <c r="PIX74" s="278" t="n"/>
      <c r="PIY74" s="278" t="n"/>
      <c r="PIZ74" s="278" t="n"/>
      <c r="PJA74" s="278" t="n"/>
      <c r="PJB74" s="278" t="n"/>
      <c r="PJC74" s="278" t="n"/>
      <c r="PJD74" s="278" t="n"/>
      <c r="PJE74" s="278" t="n"/>
      <c r="PJF74" s="278" t="n"/>
      <c r="PJG74" s="278" t="n"/>
      <c r="PJH74" s="278" t="n"/>
      <c r="PJI74" s="278" t="n"/>
      <c r="PJJ74" s="278" t="n"/>
      <c r="PJK74" s="278" t="n"/>
      <c r="PJL74" s="278" t="n"/>
      <c r="PJM74" s="278" t="n"/>
      <c r="PJN74" s="278" t="n"/>
      <c r="PJO74" s="278" t="n"/>
      <c r="PJP74" s="278" t="n"/>
      <c r="PJQ74" s="278" t="n"/>
      <c r="PJR74" s="278" t="n"/>
      <c r="PJS74" s="278" t="n"/>
      <c r="PJT74" s="278" t="n"/>
      <c r="PJU74" s="278" t="n"/>
      <c r="PJV74" s="278" t="n"/>
      <c r="PJW74" s="278" t="n"/>
      <c r="PJX74" s="278" t="n"/>
      <c r="PJY74" s="278" t="n"/>
      <c r="PJZ74" s="278" t="n"/>
      <c r="PKA74" s="278" t="n"/>
      <c r="PKB74" s="278" t="n"/>
      <c r="PKC74" s="278" t="n"/>
      <c r="PKD74" s="278" t="n"/>
      <c r="PKE74" s="278" t="n"/>
      <c r="PKF74" s="278" t="n"/>
      <c r="PKG74" s="278" t="n"/>
      <c r="PKH74" s="278" t="n"/>
      <c r="PKI74" s="278" t="n"/>
      <c r="PKJ74" s="278" t="n"/>
      <c r="PKK74" s="278" t="n"/>
      <c r="PKL74" s="278" t="n"/>
      <c r="PKM74" s="278" t="n"/>
      <c r="PKN74" s="278" t="n"/>
      <c r="PKO74" s="278" t="n"/>
      <c r="PKP74" s="278" t="n"/>
      <c r="PKQ74" s="278" t="n"/>
      <c r="PKR74" s="278" t="n"/>
      <c r="PKS74" s="278" t="n"/>
      <c r="PKT74" s="278" t="n"/>
      <c r="PKU74" s="278" t="n"/>
      <c r="PKV74" s="278" t="n"/>
      <c r="PKW74" s="278" t="n"/>
      <c r="PKX74" s="278" t="n"/>
      <c r="PKY74" s="278" t="n"/>
      <c r="PKZ74" s="278" t="n"/>
      <c r="PLA74" s="278" t="n"/>
      <c r="PLB74" s="278" t="n"/>
      <c r="PLC74" s="278" t="n"/>
      <c r="PLD74" s="278" t="n"/>
      <c r="PLE74" s="278" t="n"/>
      <c r="PLF74" s="278" t="n"/>
      <c r="PLG74" s="278" t="n"/>
      <c r="PLH74" s="278" t="n"/>
      <c r="PLI74" s="278" t="n"/>
      <c r="PLJ74" s="278" t="n"/>
      <c r="PLK74" s="278" t="n"/>
      <c r="PLL74" s="278" t="n"/>
      <c r="PLM74" s="278" t="n"/>
      <c r="PLN74" s="278" t="n"/>
      <c r="PLO74" s="278" t="n"/>
      <c r="PLP74" s="278" t="n"/>
      <c r="PLQ74" s="278" t="n"/>
      <c r="PLR74" s="278" t="n"/>
      <c r="PLS74" s="278" t="n"/>
      <c r="PLT74" s="278" t="n"/>
      <c r="PLU74" s="278" t="n"/>
      <c r="PLV74" s="278" t="n"/>
      <c r="PLW74" s="278" t="n"/>
      <c r="PLX74" s="278" t="n"/>
      <c r="PLY74" s="278" t="n"/>
      <c r="PLZ74" s="278" t="n"/>
      <c r="PMA74" s="278" t="n"/>
      <c r="PMB74" s="278" t="n"/>
      <c r="PMC74" s="278" t="n"/>
      <c r="PMD74" s="278" t="n"/>
      <c r="PME74" s="278" t="n"/>
      <c r="PMF74" s="278" t="n"/>
      <c r="PMG74" s="278" t="n"/>
      <c r="PMH74" s="278" t="n"/>
      <c r="PMI74" s="278" t="n"/>
      <c r="PMJ74" s="278" t="n"/>
      <c r="PMK74" s="278" t="n"/>
      <c r="PML74" s="278" t="n"/>
      <c r="PMM74" s="278" t="n"/>
      <c r="PMN74" s="278" t="n"/>
      <c r="PMO74" s="278" t="n"/>
      <c r="PMP74" s="278" t="n"/>
      <c r="PMQ74" s="278" t="n"/>
      <c r="PMR74" s="278" t="n"/>
      <c r="PMS74" s="278" t="n"/>
      <c r="PMT74" s="278" t="n"/>
      <c r="PMU74" s="278" t="n"/>
      <c r="PMV74" s="278" t="n"/>
      <c r="PMW74" s="278" t="n"/>
      <c r="PMX74" s="278" t="n"/>
      <c r="PMY74" s="278" t="n"/>
      <c r="PMZ74" s="278" t="n"/>
      <c r="PNA74" s="278" t="n"/>
      <c r="PNB74" s="278" t="n"/>
      <c r="PNC74" s="278" t="n"/>
      <c r="PND74" s="278" t="n"/>
      <c r="PNE74" s="278" t="n"/>
      <c r="PNF74" s="278" t="n"/>
      <c r="PNG74" s="278" t="n"/>
      <c r="PNH74" s="278" t="n"/>
      <c r="PNI74" s="278" t="n"/>
      <c r="PNJ74" s="278" t="n"/>
      <c r="PNK74" s="278" t="n"/>
      <c r="PNL74" s="278" t="n"/>
      <c r="PNM74" s="278" t="n"/>
      <c r="PNN74" s="278" t="n"/>
      <c r="PNO74" s="278" t="n"/>
      <c r="PNP74" s="278" t="n"/>
      <c r="PNQ74" s="278" t="n"/>
      <c r="PNR74" s="278" t="n"/>
      <c r="PNS74" s="278" t="n"/>
      <c r="PNT74" s="278" t="n"/>
      <c r="PNU74" s="278" t="n"/>
      <c r="PNV74" s="278" t="n"/>
      <c r="PNW74" s="278" t="n"/>
      <c r="PNX74" s="278" t="n"/>
      <c r="PNY74" s="278" t="n"/>
      <c r="PNZ74" s="278" t="n"/>
      <c r="POA74" s="278" t="n"/>
      <c r="POB74" s="278" t="n"/>
      <c r="POC74" s="278" t="n"/>
      <c r="POD74" s="278" t="n"/>
      <c r="POE74" s="278" t="n"/>
      <c r="POF74" s="278" t="n"/>
      <c r="POG74" s="278" t="n"/>
      <c r="POH74" s="278" t="n"/>
      <c r="POI74" s="278" t="n"/>
      <c r="POJ74" s="278" t="n"/>
      <c r="POK74" s="278" t="n"/>
      <c r="POL74" s="278" t="n"/>
      <c r="POM74" s="278" t="n"/>
      <c r="PON74" s="278" t="n"/>
      <c r="POO74" s="278" t="n"/>
      <c r="POP74" s="278" t="n"/>
      <c r="POQ74" s="278" t="n"/>
      <c r="POR74" s="278" t="n"/>
      <c r="POS74" s="278" t="n"/>
      <c r="POT74" s="278" t="n"/>
      <c r="POU74" s="278" t="n"/>
      <c r="POV74" s="278" t="n"/>
      <c r="POW74" s="278" t="n"/>
      <c r="POX74" s="278" t="n"/>
      <c r="POY74" s="278" t="n"/>
      <c r="POZ74" s="278" t="n"/>
      <c r="PPA74" s="278" t="n"/>
      <c r="PPB74" s="278" t="n"/>
      <c r="PPC74" s="278" t="n"/>
      <c r="PPD74" s="278" t="n"/>
      <c r="PPE74" s="278" t="n"/>
      <c r="PPF74" s="278" t="n"/>
      <c r="PPG74" s="278" t="n"/>
      <c r="PPH74" s="278" t="n"/>
      <c r="PPI74" s="278" t="n"/>
      <c r="PPJ74" s="278" t="n"/>
      <c r="PPK74" s="278" t="n"/>
      <c r="PPL74" s="278" t="n"/>
      <c r="PPM74" s="278" t="n"/>
      <c r="PPN74" s="278" t="n"/>
      <c r="PPO74" s="278" t="n"/>
      <c r="PPP74" s="278" t="n"/>
      <c r="PPQ74" s="278" t="n"/>
      <c r="PPR74" s="278" t="n"/>
      <c r="PPS74" s="278" t="n"/>
      <c r="PPT74" s="278" t="n"/>
      <c r="PPU74" s="278" t="n"/>
      <c r="PPV74" s="278" t="n"/>
      <c r="PPW74" s="278" t="n"/>
      <c r="PPX74" s="278" t="n"/>
      <c r="PPY74" s="278" t="n"/>
      <c r="PPZ74" s="278" t="n"/>
      <c r="PQA74" s="278" t="n"/>
      <c r="PQB74" s="278" t="n"/>
      <c r="PQC74" s="278" t="n"/>
      <c r="PQD74" s="278" t="n"/>
      <c r="PQE74" s="278" t="n"/>
      <c r="PQF74" s="278" t="n"/>
      <c r="PQG74" s="278" t="n"/>
      <c r="PQH74" s="278" t="n"/>
      <c r="PQI74" s="278" t="n"/>
      <c r="PQJ74" s="278" t="n"/>
      <c r="PQK74" s="278" t="n"/>
      <c r="PQL74" s="278" t="n"/>
      <c r="PQM74" s="278" t="n"/>
      <c r="PQN74" s="278" t="n"/>
      <c r="PQO74" s="278" t="n"/>
      <c r="PQP74" s="278" t="n"/>
      <c r="PQQ74" s="278" t="n"/>
      <c r="PQR74" s="278" t="n"/>
      <c r="PQS74" s="278" t="n"/>
      <c r="PQT74" s="278" t="n"/>
      <c r="PQU74" s="278" t="n"/>
      <c r="PQV74" s="278" t="n"/>
      <c r="PQW74" s="278" t="n"/>
      <c r="PQX74" s="278" t="n"/>
      <c r="PQY74" s="278" t="n"/>
      <c r="PQZ74" s="278" t="n"/>
      <c r="PRA74" s="278" t="n"/>
      <c r="PRB74" s="278" t="n"/>
      <c r="PRC74" s="278" t="n"/>
      <c r="PRD74" s="278" t="n"/>
      <c r="PRE74" s="278" t="n"/>
      <c r="PRF74" s="278" t="n"/>
      <c r="PRG74" s="278" t="n"/>
      <c r="PRH74" s="278" t="n"/>
      <c r="PRI74" s="278" t="n"/>
      <c r="PRJ74" s="278" t="n"/>
      <c r="PRK74" s="278" t="n"/>
      <c r="PRL74" s="278" t="n"/>
      <c r="PRM74" s="278" t="n"/>
      <c r="PRN74" s="278" t="n"/>
      <c r="PRO74" s="278" t="n"/>
      <c r="PRP74" s="278" t="n"/>
      <c r="PRQ74" s="278" t="n"/>
      <c r="PRR74" s="278" t="n"/>
      <c r="PRS74" s="278" t="n"/>
      <c r="PRT74" s="278" t="n"/>
      <c r="PRU74" s="278" t="n"/>
      <c r="PRV74" s="278" t="n"/>
      <c r="PRW74" s="278" t="n"/>
      <c r="PRX74" s="278" t="n"/>
      <c r="PRY74" s="278" t="n"/>
      <c r="PRZ74" s="278" t="n"/>
      <c r="PSA74" s="278" t="n"/>
      <c r="PSB74" s="278" t="n"/>
      <c r="PSC74" s="278" t="n"/>
      <c r="PSD74" s="278" t="n"/>
      <c r="PSE74" s="278" t="n"/>
      <c r="PSF74" s="278" t="n"/>
      <c r="PSG74" s="278" t="n"/>
      <c r="PSH74" s="278" t="n"/>
      <c r="PSI74" s="278" t="n"/>
      <c r="PSJ74" s="278" t="n"/>
      <c r="PSK74" s="278" t="n"/>
      <c r="PSL74" s="278" t="n"/>
      <c r="PSM74" s="278" t="n"/>
      <c r="PSN74" s="278" t="n"/>
      <c r="PSO74" s="278" t="n"/>
      <c r="PSP74" s="278" t="n"/>
      <c r="PSQ74" s="278" t="n"/>
      <c r="PSR74" s="278" t="n"/>
      <c r="PSS74" s="278" t="n"/>
      <c r="PST74" s="278" t="n"/>
      <c r="PSU74" s="278" t="n"/>
      <c r="PSV74" s="278" t="n"/>
      <c r="PSW74" s="278" t="n"/>
      <c r="PSX74" s="278" t="n"/>
      <c r="PSY74" s="278" t="n"/>
      <c r="PSZ74" s="278" t="n"/>
      <c r="PTA74" s="278" t="n"/>
      <c r="PTB74" s="278" t="n"/>
      <c r="PTC74" s="278" t="n"/>
      <c r="PTD74" s="278" t="n"/>
      <c r="PTE74" s="278" t="n"/>
      <c r="PTF74" s="278" t="n"/>
      <c r="PTG74" s="278" t="n"/>
      <c r="PTH74" s="278" t="n"/>
      <c r="PTI74" s="278" t="n"/>
      <c r="PTJ74" s="278" t="n"/>
      <c r="PTK74" s="278" t="n"/>
      <c r="PTL74" s="278" t="n"/>
      <c r="PTM74" s="278" t="n"/>
      <c r="PTN74" s="278" t="n"/>
      <c r="PTO74" s="278" t="n"/>
      <c r="PTP74" s="278" t="n"/>
      <c r="PTQ74" s="278" t="n"/>
      <c r="PTR74" s="278" t="n"/>
      <c r="PTS74" s="278" t="n"/>
      <c r="PTT74" s="278" t="n"/>
      <c r="PTU74" s="278" t="n"/>
      <c r="PTV74" s="278" t="n"/>
      <c r="PTW74" s="278" t="n"/>
      <c r="PTX74" s="278" t="n"/>
      <c r="PTY74" s="278" t="n"/>
      <c r="PTZ74" s="278" t="n"/>
      <c r="PUA74" s="278" t="n"/>
      <c r="PUB74" s="278" t="n"/>
      <c r="PUC74" s="278" t="n"/>
      <c r="PUD74" s="278" t="n"/>
      <c r="PUE74" s="278" t="n"/>
      <c r="PUF74" s="278" t="n"/>
      <c r="PUG74" s="278" t="n"/>
      <c r="PUH74" s="278" t="n"/>
      <c r="PUI74" s="278" t="n"/>
      <c r="PUJ74" s="278" t="n"/>
      <c r="PUK74" s="278" t="n"/>
      <c r="PUL74" s="278" t="n"/>
      <c r="PUM74" s="278" t="n"/>
      <c r="PUN74" s="278" t="n"/>
      <c r="PUO74" s="278" t="n"/>
      <c r="PUP74" s="278" t="n"/>
      <c r="PUQ74" s="278" t="n"/>
      <c r="PUR74" s="278" t="n"/>
      <c r="PUS74" s="278" t="n"/>
      <c r="PUT74" s="278" t="n"/>
      <c r="PUU74" s="278" t="n"/>
      <c r="PUV74" s="278" t="n"/>
      <c r="PUW74" s="278" t="n"/>
      <c r="PUX74" s="278" t="n"/>
      <c r="PUY74" s="278" t="n"/>
      <c r="PUZ74" s="278" t="n"/>
      <c r="PVA74" s="278" t="n"/>
      <c r="PVB74" s="278" t="n"/>
      <c r="PVC74" s="278" t="n"/>
      <c r="PVD74" s="278" t="n"/>
      <c r="PVE74" s="278" t="n"/>
      <c r="PVF74" s="278" t="n"/>
      <c r="PVG74" s="278" t="n"/>
      <c r="PVH74" s="278" t="n"/>
      <c r="PVI74" s="278" t="n"/>
      <c r="PVJ74" s="278" t="n"/>
      <c r="PVK74" s="278" t="n"/>
      <c r="PVL74" s="278" t="n"/>
      <c r="PVM74" s="278" t="n"/>
      <c r="PVN74" s="278" t="n"/>
      <c r="PVO74" s="278" t="n"/>
      <c r="PVP74" s="278" t="n"/>
      <c r="PVQ74" s="278" t="n"/>
      <c r="PVR74" s="278" t="n"/>
      <c r="PVS74" s="278" t="n"/>
      <c r="PVT74" s="278" t="n"/>
      <c r="PVU74" s="278" t="n"/>
      <c r="PVV74" s="278" t="n"/>
      <c r="PVW74" s="278" t="n"/>
      <c r="PVX74" s="278" t="n"/>
      <c r="PVY74" s="278" t="n"/>
      <c r="PVZ74" s="278" t="n"/>
      <c r="PWA74" s="278" t="n"/>
      <c r="PWB74" s="278" t="n"/>
      <c r="PWC74" s="278" t="n"/>
      <c r="PWD74" s="278" t="n"/>
      <c r="PWE74" s="278" t="n"/>
      <c r="PWF74" s="278" t="n"/>
      <c r="PWG74" s="278" t="n"/>
      <c r="PWH74" s="278" t="n"/>
      <c r="PWI74" s="278" t="n"/>
      <c r="PWJ74" s="278" t="n"/>
      <c r="PWK74" s="278" t="n"/>
      <c r="PWL74" s="278" t="n"/>
      <c r="PWM74" s="278" t="n"/>
      <c r="PWN74" s="278" t="n"/>
      <c r="PWO74" s="278" t="n"/>
      <c r="PWP74" s="278" t="n"/>
      <c r="PWQ74" s="278" t="n"/>
      <c r="PWR74" s="278" t="n"/>
      <c r="PWS74" s="278" t="n"/>
      <c r="PWT74" s="278" t="n"/>
      <c r="PWU74" s="278" t="n"/>
      <c r="PWV74" s="278" t="n"/>
      <c r="PWW74" s="278" t="n"/>
      <c r="PWX74" s="278" t="n"/>
      <c r="PWY74" s="278" t="n"/>
      <c r="PWZ74" s="278" t="n"/>
      <c r="PXA74" s="278" t="n"/>
      <c r="PXB74" s="278" t="n"/>
      <c r="PXC74" s="278" t="n"/>
      <c r="PXD74" s="278" t="n"/>
      <c r="PXE74" s="278" t="n"/>
      <c r="PXF74" s="278" t="n"/>
      <c r="PXG74" s="278" t="n"/>
      <c r="PXH74" s="278" t="n"/>
      <c r="PXI74" s="278" t="n"/>
      <c r="PXJ74" s="278" t="n"/>
      <c r="PXK74" s="278" t="n"/>
      <c r="PXL74" s="278" t="n"/>
      <c r="PXM74" s="278" t="n"/>
      <c r="PXN74" s="278" t="n"/>
      <c r="PXO74" s="278" t="n"/>
      <c r="PXP74" s="278" t="n"/>
      <c r="PXQ74" s="278" t="n"/>
      <c r="PXR74" s="278" t="n"/>
      <c r="PXS74" s="278" t="n"/>
      <c r="PXT74" s="278" t="n"/>
      <c r="PXU74" s="278" t="n"/>
      <c r="PXV74" s="278" t="n"/>
      <c r="PXW74" s="278" t="n"/>
      <c r="PXX74" s="278" t="n"/>
      <c r="PXY74" s="278" t="n"/>
      <c r="PXZ74" s="278" t="n"/>
      <c r="PYA74" s="278" t="n"/>
      <c r="PYB74" s="278" t="n"/>
      <c r="PYC74" s="278" t="n"/>
      <c r="PYD74" s="278" t="n"/>
      <c r="PYE74" s="278" t="n"/>
      <c r="PYF74" s="278" t="n"/>
      <c r="PYG74" s="278" t="n"/>
      <c r="PYH74" s="278" t="n"/>
      <c r="PYI74" s="278" t="n"/>
      <c r="PYJ74" s="278" t="n"/>
      <c r="PYK74" s="278" t="n"/>
      <c r="PYL74" s="278" t="n"/>
      <c r="PYM74" s="278" t="n"/>
      <c r="PYN74" s="278" t="n"/>
      <c r="PYO74" s="278" t="n"/>
      <c r="PYP74" s="278" t="n"/>
      <c r="PYQ74" s="278" t="n"/>
      <c r="PYR74" s="278" t="n"/>
      <c r="PYS74" s="278" t="n"/>
      <c r="PYT74" s="278" t="n"/>
      <c r="PYU74" s="278" t="n"/>
      <c r="PYV74" s="278" t="n"/>
      <c r="PYW74" s="278" t="n"/>
      <c r="PYX74" s="278" t="n"/>
      <c r="PYY74" s="278" t="n"/>
      <c r="PYZ74" s="278" t="n"/>
      <c r="PZA74" s="278" t="n"/>
      <c r="PZB74" s="278" t="n"/>
      <c r="PZC74" s="278" t="n"/>
      <c r="PZD74" s="278" t="n"/>
      <c r="PZE74" s="278" t="n"/>
      <c r="PZF74" s="278" t="n"/>
      <c r="PZG74" s="278" t="n"/>
      <c r="PZH74" s="278" t="n"/>
      <c r="PZI74" s="278" t="n"/>
      <c r="PZJ74" s="278" t="n"/>
      <c r="PZK74" s="278" t="n"/>
      <c r="PZL74" s="278" t="n"/>
      <c r="PZM74" s="278" t="n"/>
      <c r="PZN74" s="278" t="n"/>
      <c r="PZO74" s="278" t="n"/>
      <c r="PZP74" s="278" t="n"/>
      <c r="PZQ74" s="278" t="n"/>
      <c r="PZR74" s="278" t="n"/>
      <c r="PZS74" s="278" t="n"/>
      <c r="PZT74" s="278" t="n"/>
      <c r="PZU74" s="278" t="n"/>
      <c r="PZV74" s="278" t="n"/>
      <c r="PZW74" s="278" t="n"/>
      <c r="PZX74" s="278" t="n"/>
      <c r="PZY74" s="278" t="n"/>
      <c r="PZZ74" s="278" t="n"/>
      <c r="QAA74" s="278" t="n"/>
      <c r="QAB74" s="278" t="n"/>
      <c r="QAC74" s="278" t="n"/>
      <c r="QAD74" s="278" t="n"/>
      <c r="QAE74" s="278" t="n"/>
      <c r="QAF74" s="278" t="n"/>
      <c r="QAG74" s="278" t="n"/>
      <c r="QAH74" s="278" t="n"/>
      <c r="QAI74" s="278" t="n"/>
      <c r="QAJ74" s="278" t="n"/>
      <c r="QAK74" s="278" t="n"/>
      <c r="QAL74" s="278" t="n"/>
      <c r="QAM74" s="278" t="n"/>
      <c r="QAN74" s="278" t="n"/>
      <c r="QAO74" s="278" t="n"/>
      <c r="QAP74" s="278" t="n"/>
      <c r="QAQ74" s="278" t="n"/>
      <c r="QAR74" s="278" t="n"/>
      <c r="QAS74" s="278" t="n"/>
      <c r="QAT74" s="278" t="n"/>
      <c r="QAU74" s="278" t="n"/>
      <c r="QAV74" s="278" t="n"/>
      <c r="QAW74" s="278" t="n"/>
      <c r="QAX74" s="278" t="n"/>
      <c r="QAY74" s="278" t="n"/>
      <c r="QAZ74" s="278" t="n"/>
      <c r="QBA74" s="278" t="n"/>
      <c r="QBB74" s="278" t="n"/>
      <c r="QBC74" s="278" t="n"/>
      <c r="QBD74" s="278" t="n"/>
      <c r="QBE74" s="278" t="n"/>
      <c r="QBF74" s="278" t="n"/>
      <c r="QBG74" s="278" t="n"/>
      <c r="QBH74" s="278" t="n"/>
      <c r="QBI74" s="278" t="n"/>
      <c r="QBJ74" s="278" t="n"/>
      <c r="QBK74" s="278" t="n"/>
      <c r="QBL74" s="278" t="n"/>
      <c r="QBM74" s="278" t="n"/>
      <c r="QBN74" s="278" t="n"/>
      <c r="QBO74" s="278" t="n"/>
      <c r="QBP74" s="278" t="n"/>
      <c r="QBQ74" s="278" t="n"/>
      <c r="QBR74" s="278" t="n"/>
      <c r="QBS74" s="278" t="n"/>
      <c r="QBT74" s="278" t="n"/>
      <c r="QBU74" s="278" t="n"/>
      <c r="QBV74" s="278" t="n"/>
      <c r="QBW74" s="278" t="n"/>
      <c r="QBX74" s="278" t="n"/>
      <c r="QBY74" s="278" t="n"/>
      <c r="QBZ74" s="278" t="n"/>
      <c r="QCA74" s="278" t="n"/>
      <c r="QCB74" s="278" t="n"/>
      <c r="QCC74" s="278" t="n"/>
      <c r="QCD74" s="278" t="n"/>
      <c r="QCE74" s="278" t="n"/>
      <c r="QCF74" s="278" t="n"/>
      <c r="QCG74" s="278" t="n"/>
      <c r="QCH74" s="278" t="n"/>
      <c r="QCI74" s="278" t="n"/>
      <c r="QCJ74" s="278" t="n"/>
      <c r="QCK74" s="278" t="n"/>
      <c r="QCL74" s="278" t="n"/>
      <c r="QCM74" s="278" t="n"/>
      <c r="QCN74" s="278" t="n"/>
      <c r="QCO74" s="278" t="n"/>
      <c r="QCP74" s="278" t="n"/>
      <c r="QCQ74" s="278" t="n"/>
      <c r="QCR74" s="278" t="n"/>
      <c r="QCS74" s="278" t="n"/>
      <c r="QCT74" s="278" t="n"/>
      <c r="QCU74" s="278" t="n"/>
      <c r="QCV74" s="278" t="n"/>
      <c r="QCW74" s="278" t="n"/>
      <c r="QCX74" s="278" t="n"/>
      <c r="QCY74" s="278" t="n"/>
      <c r="QCZ74" s="278" t="n"/>
      <c r="QDA74" s="278" t="n"/>
      <c r="QDB74" s="278" t="n"/>
      <c r="QDC74" s="278" t="n"/>
      <c r="QDD74" s="278" t="n"/>
      <c r="QDE74" s="278" t="n"/>
      <c r="QDF74" s="278" t="n"/>
      <c r="QDG74" s="278" t="n"/>
      <c r="QDH74" s="278" t="n"/>
      <c r="QDI74" s="278" t="n"/>
      <c r="QDJ74" s="278" t="n"/>
      <c r="QDK74" s="278" t="n"/>
      <c r="QDL74" s="278" t="n"/>
      <c r="QDM74" s="278" t="n"/>
      <c r="QDN74" s="278" t="n"/>
      <c r="QDO74" s="278" t="n"/>
      <c r="QDP74" s="278" t="n"/>
      <c r="QDQ74" s="278" t="n"/>
      <c r="QDR74" s="278" t="n"/>
      <c r="QDS74" s="278" t="n"/>
      <c r="QDT74" s="278" t="n"/>
      <c r="QDU74" s="278" t="n"/>
      <c r="QDV74" s="278" t="n"/>
      <c r="QDW74" s="278" t="n"/>
      <c r="QDX74" s="278" t="n"/>
      <c r="QDY74" s="278" t="n"/>
      <c r="QDZ74" s="278" t="n"/>
      <c r="QEA74" s="278" t="n"/>
      <c r="QEB74" s="278" t="n"/>
      <c r="QEC74" s="278" t="n"/>
      <c r="QED74" s="278" t="n"/>
      <c r="QEE74" s="278" t="n"/>
      <c r="QEF74" s="278" t="n"/>
      <c r="QEG74" s="278" t="n"/>
      <c r="QEH74" s="278" t="n"/>
      <c r="QEI74" s="278" t="n"/>
      <c r="QEJ74" s="278" t="n"/>
      <c r="QEK74" s="278" t="n"/>
      <c r="QEL74" s="278" t="n"/>
      <c r="QEM74" s="278" t="n"/>
      <c r="QEN74" s="278" t="n"/>
      <c r="QEO74" s="278" t="n"/>
      <c r="QEP74" s="278" t="n"/>
      <c r="QEQ74" s="278" t="n"/>
      <c r="QER74" s="278" t="n"/>
      <c r="QES74" s="278" t="n"/>
      <c r="QET74" s="278" t="n"/>
      <c r="QEU74" s="278" t="n"/>
      <c r="QEV74" s="278" t="n"/>
      <c r="QEW74" s="278" t="n"/>
      <c r="QEX74" s="278" t="n"/>
      <c r="QEY74" s="278" t="n"/>
      <c r="QEZ74" s="278" t="n"/>
      <c r="QFA74" s="278" t="n"/>
      <c r="QFB74" s="278" t="n"/>
      <c r="QFC74" s="278" t="n"/>
      <c r="QFD74" s="278" t="n"/>
      <c r="QFE74" s="278" t="n"/>
      <c r="QFF74" s="278" t="n"/>
      <c r="QFG74" s="278" t="n"/>
      <c r="QFH74" s="278" t="n"/>
      <c r="QFI74" s="278" t="n"/>
      <c r="QFJ74" s="278" t="n"/>
      <c r="QFK74" s="278" t="n"/>
      <c r="QFL74" s="278" t="n"/>
      <c r="QFM74" s="278" t="n"/>
      <c r="QFN74" s="278" t="n"/>
      <c r="QFO74" s="278" t="n"/>
      <c r="QFP74" s="278" t="n"/>
      <c r="QFQ74" s="278" t="n"/>
      <c r="QFR74" s="278" t="n"/>
      <c r="QFS74" s="278" t="n"/>
      <c r="QFT74" s="278" t="n"/>
      <c r="QFU74" s="278" t="n"/>
      <c r="QFV74" s="278" t="n"/>
      <c r="QFW74" s="278" t="n"/>
      <c r="QFX74" s="278" t="n"/>
      <c r="QFY74" s="278" t="n"/>
      <c r="QFZ74" s="278" t="n"/>
      <c r="QGA74" s="278" t="n"/>
      <c r="QGB74" s="278" t="n"/>
      <c r="QGC74" s="278" t="n"/>
      <c r="QGD74" s="278" t="n"/>
      <c r="QGE74" s="278" t="n"/>
      <c r="QGF74" s="278" t="n"/>
      <c r="QGG74" s="278" t="n"/>
      <c r="QGH74" s="278" t="n"/>
      <c r="QGI74" s="278" t="n"/>
      <c r="QGJ74" s="278" t="n"/>
      <c r="QGK74" s="278" t="n"/>
      <c r="QGL74" s="278" t="n"/>
      <c r="QGM74" s="278" t="n"/>
      <c r="QGN74" s="278" t="n"/>
      <c r="QGO74" s="278" t="n"/>
      <c r="QGP74" s="278" t="n"/>
      <c r="QGQ74" s="278" t="n"/>
      <c r="QGR74" s="278" t="n"/>
      <c r="QGS74" s="278" t="n"/>
      <c r="QGT74" s="278" t="n"/>
      <c r="QGU74" s="278" t="n"/>
      <c r="QGV74" s="278" t="n"/>
      <c r="QGW74" s="278" t="n"/>
      <c r="QGX74" s="278" t="n"/>
      <c r="QGY74" s="278" t="n"/>
      <c r="QGZ74" s="278" t="n"/>
      <c r="QHA74" s="278" t="n"/>
      <c r="QHB74" s="278" t="n"/>
      <c r="QHC74" s="278" t="n"/>
      <c r="QHD74" s="278" t="n"/>
      <c r="QHE74" s="278" t="n"/>
      <c r="QHF74" s="278" t="n"/>
      <c r="QHG74" s="278" t="n"/>
      <c r="QHH74" s="278" t="n"/>
      <c r="QHI74" s="278" t="n"/>
      <c r="QHJ74" s="278" t="n"/>
      <c r="QHK74" s="278" t="n"/>
      <c r="QHL74" s="278" t="n"/>
      <c r="QHM74" s="278" t="n"/>
      <c r="QHN74" s="278" t="n"/>
      <c r="QHO74" s="278" t="n"/>
      <c r="QHP74" s="278" t="n"/>
      <c r="QHQ74" s="278" t="n"/>
      <c r="QHR74" s="278" t="n"/>
      <c r="QHS74" s="278" t="n"/>
      <c r="QHT74" s="278" t="n"/>
      <c r="QHU74" s="278" t="n"/>
      <c r="QHV74" s="278" t="n"/>
      <c r="QHW74" s="278" t="n"/>
      <c r="QHX74" s="278" t="n"/>
      <c r="QHY74" s="278" t="n"/>
      <c r="QHZ74" s="278" t="n"/>
      <c r="QIA74" s="278" t="n"/>
      <c r="QIB74" s="278" t="n"/>
      <c r="QIC74" s="278" t="n"/>
      <c r="QID74" s="278" t="n"/>
      <c r="QIE74" s="278" t="n"/>
      <c r="QIF74" s="278" t="n"/>
      <c r="QIG74" s="278" t="n"/>
      <c r="QIH74" s="278" t="n"/>
      <c r="QII74" s="278" t="n"/>
      <c r="QIJ74" s="278" t="n"/>
      <c r="QIK74" s="278" t="n"/>
      <c r="QIL74" s="278" t="n"/>
      <c r="QIM74" s="278" t="n"/>
      <c r="QIN74" s="278" t="n"/>
      <c r="QIO74" s="278" t="n"/>
      <c r="QIP74" s="278" t="n"/>
      <c r="QIQ74" s="278" t="n"/>
      <c r="QIR74" s="278" t="n"/>
      <c r="QIS74" s="278" t="n"/>
      <c r="QIT74" s="278" t="n"/>
      <c r="QIU74" s="278" t="n"/>
      <c r="QIV74" s="278" t="n"/>
      <c r="QIW74" s="278" t="n"/>
      <c r="QIX74" s="278" t="n"/>
      <c r="QIY74" s="278" t="n"/>
      <c r="QIZ74" s="278" t="n"/>
      <c r="QJA74" s="278" t="n"/>
      <c r="QJB74" s="278" t="n"/>
      <c r="QJC74" s="278" t="n"/>
      <c r="QJD74" s="278" t="n"/>
      <c r="QJE74" s="278" t="n"/>
      <c r="QJF74" s="278" t="n"/>
      <c r="QJG74" s="278" t="n"/>
      <c r="QJH74" s="278" t="n"/>
      <c r="QJI74" s="278" t="n"/>
      <c r="QJJ74" s="278" t="n"/>
      <c r="QJK74" s="278" t="n"/>
      <c r="QJL74" s="278" t="n"/>
      <c r="QJM74" s="278" t="n"/>
      <c r="QJN74" s="278" t="n"/>
      <c r="QJO74" s="278" t="n"/>
      <c r="QJP74" s="278" t="n"/>
      <c r="QJQ74" s="278" t="n"/>
      <c r="QJR74" s="278" t="n"/>
      <c r="QJS74" s="278" t="n"/>
      <c r="QJT74" s="278" t="n"/>
      <c r="QJU74" s="278" t="n"/>
      <c r="QJV74" s="278" t="n"/>
      <c r="QJW74" s="278" t="n"/>
      <c r="QJX74" s="278" t="n"/>
      <c r="QJY74" s="278" t="n"/>
      <c r="QJZ74" s="278" t="n"/>
      <c r="QKA74" s="278" t="n"/>
      <c r="QKB74" s="278" t="n"/>
      <c r="QKC74" s="278" t="n"/>
      <c r="QKD74" s="278" t="n"/>
      <c r="QKE74" s="278" t="n"/>
      <c r="QKF74" s="278" t="n"/>
      <c r="QKG74" s="278" t="n"/>
      <c r="QKH74" s="278" t="n"/>
      <c r="QKI74" s="278" t="n"/>
      <c r="QKJ74" s="278" t="n"/>
      <c r="QKK74" s="278" t="n"/>
      <c r="QKL74" s="278" t="n"/>
      <c r="QKM74" s="278" t="n"/>
      <c r="QKN74" s="278" t="n"/>
      <c r="QKO74" s="278" t="n"/>
      <c r="QKP74" s="278" t="n"/>
      <c r="QKQ74" s="278" t="n"/>
      <c r="QKR74" s="278" t="n"/>
      <c r="QKS74" s="278" t="n"/>
      <c r="QKT74" s="278" t="n"/>
      <c r="QKU74" s="278" t="n"/>
      <c r="QKV74" s="278" t="n"/>
      <c r="QKW74" s="278" t="n"/>
      <c r="QKX74" s="278" t="n"/>
      <c r="QKY74" s="278" t="n"/>
      <c r="QKZ74" s="278" t="n"/>
      <c r="QLA74" s="278" t="n"/>
      <c r="QLB74" s="278" t="n"/>
      <c r="QLC74" s="278" t="n"/>
      <c r="QLD74" s="278" t="n"/>
      <c r="QLE74" s="278" t="n"/>
      <c r="QLF74" s="278" t="n"/>
      <c r="QLG74" s="278" t="n"/>
      <c r="QLH74" s="278" t="n"/>
      <c r="QLI74" s="278" t="n"/>
      <c r="QLJ74" s="278" t="n"/>
      <c r="QLK74" s="278" t="n"/>
      <c r="QLL74" s="278" t="n"/>
      <c r="QLM74" s="278" t="n"/>
      <c r="QLN74" s="278" t="n"/>
      <c r="QLO74" s="278" t="n"/>
      <c r="QLP74" s="278" t="n"/>
      <c r="QLQ74" s="278" t="n"/>
      <c r="QLR74" s="278" t="n"/>
      <c r="QLS74" s="278" t="n"/>
      <c r="QLT74" s="278" t="n"/>
      <c r="QLU74" s="278" t="n"/>
      <c r="QLV74" s="278" t="n"/>
      <c r="QLW74" s="278" t="n"/>
      <c r="QLX74" s="278" t="n"/>
      <c r="QLY74" s="278" t="n"/>
      <c r="QLZ74" s="278" t="n"/>
      <c r="QMA74" s="278" t="n"/>
      <c r="QMB74" s="278" t="n"/>
      <c r="QMC74" s="278" t="n"/>
      <c r="QMD74" s="278" t="n"/>
      <c r="QME74" s="278" t="n"/>
      <c r="QMF74" s="278" t="n"/>
      <c r="QMG74" s="278" t="n"/>
      <c r="QMH74" s="278" t="n"/>
      <c r="QMI74" s="278" t="n"/>
      <c r="QMJ74" s="278" t="n"/>
      <c r="QMK74" s="278" t="n"/>
      <c r="QML74" s="278" t="n"/>
      <c r="QMM74" s="278" t="n"/>
      <c r="QMN74" s="278" t="n"/>
      <c r="QMO74" s="278" t="n"/>
      <c r="QMP74" s="278" t="n"/>
      <c r="QMQ74" s="278" t="n"/>
      <c r="QMR74" s="278" t="n"/>
      <c r="QMS74" s="278" t="n"/>
      <c r="QMT74" s="278" t="n"/>
      <c r="QMU74" s="278" t="n"/>
      <c r="QMV74" s="278" t="n"/>
      <c r="QMW74" s="278" t="n"/>
      <c r="QMX74" s="278" t="n"/>
      <c r="QMY74" s="278" t="n"/>
      <c r="QMZ74" s="278" t="n"/>
      <c r="QNA74" s="278" t="n"/>
      <c r="QNB74" s="278" t="n"/>
      <c r="QNC74" s="278" t="n"/>
      <c r="QND74" s="278" t="n"/>
      <c r="QNE74" s="278" t="n"/>
      <c r="QNF74" s="278" t="n"/>
      <c r="QNG74" s="278" t="n"/>
      <c r="QNH74" s="278" t="n"/>
      <c r="QNI74" s="278" t="n"/>
      <c r="QNJ74" s="278" t="n"/>
      <c r="QNK74" s="278" t="n"/>
      <c r="QNL74" s="278" t="n"/>
      <c r="QNM74" s="278" t="n"/>
      <c r="QNN74" s="278" t="n"/>
      <c r="QNO74" s="278" t="n"/>
      <c r="QNP74" s="278" t="n"/>
      <c r="QNQ74" s="278" t="n"/>
      <c r="QNR74" s="278" t="n"/>
      <c r="QNS74" s="278" t="n"/>
      <c r="QNT74" s="278" t="n"/>
      <c r="QNU74" s="278" t="n"/>
      <c r="QNV74" s="278" t="n"/>
      <c r="QNW74" s="278" t="n"/>
      <c r="QNX74" s="278" t="n"/>
      <c r="QNY74" s="278" t="n"/>
      <c r="QNZ74" s="278" t="n"/>
      <c r="QOA74" s="278" t="n"/>
      <c r="QOB74" s="278" t="n"/>
      <c r="QOC74" s="278" t="n"/>
      <c r="QOD74" s="278" t="n"/>
      <c r="QOE74" s="278" t="n"/>
      <c r="QOF74" s="278" t="n"/>
      <c r="QOG74" s="278" t="n"/>
      <c r="QOH74" s="278" t="n"/>
      <c r="QOI74" s="278" t="n"/>
      <c r="QOJ74" s="278" t="n"/>
      <c r="QOK74" s="278" t="n"/>
      <c r="QOL74" s="278" t="n"/>
      <c r="QOM74" s="278" t="n"/>
      <c r="QON74" s="278" t="n"/>
      <c r="QOO74" s="278" t="n"/>
      <c r="QOP74" s="278" t="n"/>
      <c r="QOQ74" s="278" t="n"/>
      <c r="QOR74" s="278" t="n"/>
      <c r="QOS74" s="278" t="n"/>
      <c r="QOT74" s="278" t="n"/>
      <c r="QOU74" s="278" t="n"/>
      <c r="QOV74" s="278" t="n"/>
      <c r="QOW74" s="278" t="n"/>
      <c r="QOX74" s="278" t="n"/>
      <c r="QOY74" s="278" t="n"/>
      <c r="QOZ74" s="278" t="n"/>
      <c r="QPA74" s="278" t="n"/>
      <c r="QPB74" s="278" t="n"/>
      <c r="QPC74" s="278" t="n"/>
      <c r="QPD74" s="278" t="n"/>
      <c r="QPE74" s="278" t="n"/>
      <c r="QPF74" s="278" t="n"/>
      <c r="QPG74" s="278" t="n"/>
      <c r="QPH74" s="278" t="n"/>
      <c r="QPI74" s="278" t="n"/>
      <c r="QPJ74" s="278" t="n"/>
      <c r="QPK74" s="278" t="n"/>
      <c r="QPL74" s="278" t="n"/>
      <c r="QPM74" s="278" t="n"/>
      <c r="QPN74" s="278" t="n"/>
      <c r="QPO74" s="278" t="n"/>
      <c r="QPP74" s="278" t="n"/>
      <c r="QPQ74" s="278" t="n"/>
      <c r="QPR74" s="278" t="n"/>
      <c r="QPS74" s="278" t="n"/>
      <c r="QPT74" s="278" t="n"/>
      <c r="QPU74" s="278" t="n"/>
      <c r="QPV74" s="278" t="n"/>
      <c r="QPW74" s="278" t="n"/>
      <c r="QPX74" s="278" t="n"/>
      <c r="QPY74" s="278" t="n"/>
      <c r="QPZ74" s="278" t="n"/>
      <c r="QQA74" s="278" t="n"/>
      <c r="QQB74" s="278" t="n"/>
      <c r="QQC74" s="278" t="n"/>
      <c r="QQD74" s="278" t="n"/>
      <c r="QQE74" s="278" t="n"/>
      <c r="QQF74" s="278" t="n"/>
      <c r="QQG74" s="278" t="n"/>
      <c r="QQH74" s="278" t="n"/>
      <c r="QQI74" s="278" t="n"/>
      <c r="QQJ74" s="278" t="n"/>
      <c r="QQK74" s="278" t="n"/>
      <c r="QQL74" s="278" t="n"/>
      <c r="QQM74" s="278" t="n"/>
      <c r="QQN74" s="278" t="n"/>
      <c r="QQO74" s="278" t="n"/>
      <c r="QQP74" s="278" t="n"/>
      <c r="QQQ74" s="278" t="n"/>
      <c r="QQR74" s="278" t="n"/>
      <c r="QQS74" s="278" t="n"/>
      <c r="QQT74" s="278" t="n"/>
      <c r="QQU74" s="278" t="n"/>
      <c r="QQV74" s="278" t="n"/>
      <c r="QQW74" s="278" t="n"/>
      <c r="QQX74" s="278" t="n"/>
      <c r="QQY74" s="278" t="n"/>
      <c r="QQZ74" s="278" t="n"/>
      <c r="QRA74" s="278" t="n"/>
      <c r="QRB74" s="278" t="n"/>
      <c r="QRC74" s="278" t="n"/>
      <c r="QRD74" s="278" t="n"/>
      <c r="QRE74" s="278" t="n"/>
      <c r="QRF74" s="278" t="n"/>
      <c r="QRG74" s="278" t="n"/>
      <c r="QRH74" s="278" t="n"/>
      <c r="QRI74" s="278" t="n"/>
      <c r="QRJ74" s="278" t="n"/>
      <c r="QRK74" s="278" t="n"/>
      <c r="QRL74" s="278" t="n"/>
      <c r="QRM74" s="278" t="n"/>
      <c r="QRN74" s="278" t="n"/>
      <c r="QRO74" s="278" t="n"/>
      <c r="QRP74" s="278" t="n"/>
      <c r="QRQ74" s="278" t="n"/>
      <c r="QRR74" s="278" t="n"/>
      <c r="QRS74" s="278" t="n"/>
      <c r="QRT74" s="278" t="n"/>
      <c r="QRU74" s="278" t="n"/>
      <c r="QRV74" s="278" t="n"/>
      <c r="QRW74" s="278" t="n"/>
      <c r="QRX74" s="278" t="n"/>
      <c r="QRY74" s="278" t="n"/>
      <c r="QRZ74" s="278" t="n"/>
      <c r="QSA74" s="278" t="n"/>
      <c r="QSB74" s="278" t="n"/>
      <c r="QSC74" s="278" t="n"/>
      <c r="QSD74" s="278" t="n"/>
      <c r="QSE74" s="278" t="n"/>
      <c r="QSF74" s="278" t="n"/>
      <c r="QSG74" s="278" t="n"/>
      <c r="QSH74" s="278" t="n"/>
      <c r="QSI74" s="278" t="n"/>
      <c r="QSJ74" s="278" t="n"/>
      <c r="QSK74" s="278" t="n"/>
      <c r="QSL74" s="278" t="n"/>
      <c r="QSM74" s="278" t="n"/>
      <c r="QSN74" s="278" t="n"/>
      <c r="QSO74" s="278" t="n"/>
      <c r="QSP74" s="278" t="n"/>
      <c r="QSQ74" s="278" t="n"/>
      <c r="QSR74" s="278" t="n"/>
      <c r="QSS74" s="278" t="n"/>
      <c r="QST74" s="278" t="n"/>
      <c r="QSU74" s="278" t="n"/>
      <c r="QSV74" s="278" t="n"/>
      <c r="QSW74" s="278" t="n"/>
      <c r="QSX74" s="278" t="n"/>
      <c r="QSY74" s="278" t="n"/>
      <c r="QSZ74" s="278" t="n"/>
      <c r="QTA74" s="278" t="n"/>
      <c r="QTB74" s="278" t="n"/>
      <c r="QTC74" s="278" t="n"/>
      <c r="QTD74" s="278" t="n"/>
      <c r="QTE74" s="278" t="n"/>
      <c r="QTF74" s="278" t="n"/>
      <c r="QTG74" s="278" t="n"/>
      <c r="QTH74" s="278" t="n"/>
      <c r="QTI74" s="278" t="n"/>
      <c r="QTJ74" s="278" t="n"/>
      <c r="QTK74" s="278" t="n"/>
      <c r="QTL74" s="278" t="n"/>
      <c r="QTM74" s="278" t="n"/>
      <c r="QTN74" s="278" t="n"/>
      <c r="QTO74" s="278" t="n"/>
      <c r="QTP74" s="278" t="n"/>
      <c r="QTQ74" s="278" t="n"/>
      <c r="QTR74" s="278" t="n"/>
      <c r="QTS74" s="278" t="n"/>
      <c r="QTT74" s="278" t="n"/>
      <c r="QTU74" s="278" t="n"/>
      <c r="QTV74" s="278" t="n"/>
      <c r="QTW74" s="278" t="n"/>
      <c r="QTX74" s="278" t="n"/>
      <c r="QTY74" s="278" t="n"/>
      <c r="QTZ74" s="278" t="n"/>
      <c r="QUA74" s="278" t="n"/>
      <c r="QUB74" s="278" t="n"/>
      <c r="QUC74" s="278" t="n"/>
      <c r="QUD74" s="278" t="n"/>
      <c r="QUE74" s="278" t="n"/>
      <c r="QUF74" s="278" t="n"/>
      <c r="QUG74" s="278" t="n"/>
      <c r="QUH74" s="278" t="n"/>
      <c r="QUI74" s="278" t="n"/>
      <c r="QUJ74" s="278" t="n"/>
      <c r="QUK74" s="278" t="n"/>
      <c r="QUL74" s="278" t="n"/>
      <c r="QUM74" s="278" t="n"/>
      <c r="QUN74" s="278" t="n"/>
      <c r="QUO74" s="278" t="n"/>
      <c r="QUP74" s="278" t="n"/>
      <c r="QUQ74" s="278" t="n"/>
      <c r="QUR74" s="278" t="n"/>
      <c r="QUS74" s="278" t="n"/>
      <c r="QUT74" s="278" t="n"/>
      <c r="QUU74" s="278" t="n"/>
      <c r="QUV74" s="278" t="n"/>
      <c r="QUW74" s="278" t="n"/>
      <c r="QUX74" s="278" t="n"/>
      <c r="QUY74" s="278" t="n"/>
      <c r="QUZ74" s="278" t="n"/>
      <c r="QVA74" s="278" t="n"/>
      <c r="QVB74" s="278" t="n"/>
      <c r="QVC74" s="278" t="n"/>
      <c r="QVD74" s="278" t="n"/>
      <c r="QVE74" s="278" t="n"/>
      <c r="QVF74" s="278" t="n"/>
      <c r="QVG74" s="278" t="n"/>
      <c r="QVH74" s="278" t="n"/>
      <c r="QVI74" s="278" t="n"/>
      <c r="QVJ74" s="278" t="n"/>
      <c r="QVK74" s="278" t="n"/>
      <c r="QVL74" s="278" t="n"/>
      <c r="QVM74" s="278" t="n"/>
      <c r="QVN74" s="278" t="n"/>
      <c r="QVO74" s="278" t="n"/>
      <c r="QVP74" s="278" t="n"/>
      <c r="QVQ74" s="278" t="n"/>
      <c r="QVR74" s="278" t="n"/>
      <c r="QVS74" s="278" t="n"/>
      <c r="QVT74" s="278" t="n"/>
      <c r="QVU74" s="278" t="n"/>
      <c r="QVV74" s="278" t="n"/>
      <c r="QVW74" s="278" t="n"/>
      <c r="QVX74" s="278" t="n"/>
      <c r="QVY74" s="278" t="n"/>
      <c r="QVZ74" s="278" t="n"/>
      <c r="QWA74" s="278" t="n"/>
      <c r="QWB74" s="278" t="n"/>
      <c r="QWC74" s="278" t="n"/>
      <c r="QWD74" s="278" t="n"/>
      <c r="QWE74" s="278" t="n"/>
      <c r="QWF74" s="278" t="n"/>
      <c r="QWG74" s="278" t="n"/>
      <c r="QWH74" s="278" t="n"/>
      <c r="QWI74" s="278" t="n"/>
      <c r="QWJ74" s="278" t="n"/>
      <c r="QWK74" s="278" t="n"/>
      <c r="QWL74" s="278" t="n"/>
      <c r="QWM74" s="278" t="n"/>
      <c r="QWN74" s="278" t="n"/>
      <c r="QWO74" s="278" t="n"/>
      <c r="QWP74" s="278" t="n"/>
      <c r="QWQ74" s="278" t="n"/>
      <c r="QWR74" s="278" t="n"/>
      <c r="QWS74" s="278" t="n"/>
      <c r="QWT74" s="278" t="n"/>
      <c r="QWU74" s="278" t="n"/>
      <c r="QWV74" s="278" t="n"/>
      <c r="QWW74" s="278" t="n"/>
      <c r="QWX74" s="278" t="n"/>
      <c r="QWY74" s="278" t="n"/>
      <c r="QWZ74" s="278" t="n"/>
      <c r="QXA74" s="278" t="n"/>
      <c r="QXB74" s="278" t="n"/>
      <c r="QXC74" s="278" t="n"/>
      <c r="QXD74" s="278" t="n"/>
      <c r="QXE74" s="278" t="n"/>
      <c r="QXF74" s="278" t="n"/>
      <c r="QXG74" s="278" t="n"/>
      <c r="QXH74" s="278" t="n"/>
      <c r="QXI74" s="278" t="n"/>
      <c r="QXJ74" s="278" t="n"/>
      <c r="QXK74" s="278" t="n"/>
      <c r="QXL74" s="278" t="n"/>
      <c r="QXM74" s="278" t="n"/>
      <c r="QXN74" s="278" t="n"/>
      <c r="QXO74" s="278" t="n"/>
      <c r="QXP74" s="278" t="n"/>
      <c r="QXQ74" s="278" t="n"/>
      <c r="QXR74" s="278" t="n"/>
      <c r="QXS74" s="278" t="n"/>
      <c r="QXT74" s="278" t="n"/>
      <c r="QXU74" s="278" t="n"/>
      <c r="QXV74" s="278" t="n"/>
      <c r="QXW74" s="278" t="n"/>
      <c r="QXX74" s="278" t="n"/>
      <c r="QXY74" s="278" t="n"/>
      <c r="QXZ74" s="278" t="n"/>
      <c r="QYA74" s="278" t="n"/>
      <c r="QYB74" s="278" t="n"/>
      <c r="QYC74" s="278" t="n"/>
      <c r="QYD74" s="278" t="n"/>
      <c r="QYE74" s="278" t="n"/>
      <c r="QYF74" s="278" t="n"/>
      <c r="QYG74" s="278" t="n"/>
      <c r="QYH74" s="278" t="n"/>
      <c r="QYI74" s="278" t="n"/>
      <c r="QYJ74" s="278" t="n"/>
      <c r="QYK74" s="278" t="n"/>
      <c r="QYL74" s="278" t="n"/>
      <c r="QYM74" s="278" t="n"/>
      <c r="QYN74" s="278" t="n"/>
      <c r="QYO74" s="278" t="n"/>
      <c r="QYP74" s="278" t="n"/>
      <c r="QYQ74" s="278" t="n"/>
      <c r="QYR74" s="278" t="n"/>
      <c r="QYS74" s="278" t="n"/>
      <c r="QYT74" s="278" t="n"/>
      <c r="QYU74" s="278" t="n"/>
      <c r="QYV74" s="278" t="n"/>
      <c r="QYW74" s="278" t="n"/>
      <c r="QYX74" s="278" t="n"/>
      <c r="QYY74" s="278" t="n"/>
      <c r="QYZ74" s="278" t="n"/>
      <c r="QZA74" s="278" t="n"/>
      <c r="QZB74" s="278" t="n"/>
      <c r="QZC74" s="278" t="n"/>
      <c r="QZD74" s="278" t="n"/>
      <c r="QZE74" s="278" t="n"/>
      <c r="QZF74" s="278" t="n"/>
      <c r="QZG74" s="278" t="n"/>
      <c r="QZH74" s="278" t="n"/>
      <c r="QZI74" s="278" t="n"/>
      <c r="QZJ74" s="278" t="n"/>
      <c r="QZK74" s="278" t="n"/>
      <c r="QZL74" s="278" t="n"/>
      <c r="QZM74" s="278" t="n"/>
      <c r="QZN74" s="278" t="n"/>
      <c r="QZO74" s="278" t="n"/>
      <c r="QZP74" s="278" t="n"/>
      <c r="QZQ74" s="278" t="n"/>
      <c r="QZR74" s="278" t="n"/>
      <c r="QZS74" s="278" t="n"/>
      <c r="QZT74" s="278" t="n"/>
      <c r="QZU74" s="278" t="n"/>
      <c r="QZV74" s="278" t="n"/>
      <c r="QZW74" s="278" t="n"/>
      <c r="QZX74" s="278" t="n"/>
      <c r="QZY74" s="278" t="n"/>
      <c r="QZZ74" s="278" t="n"/>
      <c r="RAA74" s="278" t="n"/>
      <c r="RAB74" s="278" t="n"/>
      <c r="RAC74" s="278" t="n"/>
      <c r="RAD74" s="278" t="n"/>
      <c r="RAE74" s="278" t="n"/>
      <c r="RAF74" s="278" t="n"/>
      <c r="RAG74" s="278" t="n"/>
      <c r="RAH74" s="278" t="n"/>
      <c r="RAI74" s="278" t="n"/>
      <c r="RAJ74" s="278" t="n"/>
      <c r="RAK74" s="278" t="n"/>
      <c r="RAL74" s="278" t="n"/>
      <c r="RAM74" s="278" t="n"/>
      <c r="RAN74" s="278" t="n"/>
      <c r="RAO74" s="278" t="n"/>
      <c r="RAP74" s="278" t="n"/>
      <c r="RAQ74" s="278" t="n"/>
      <c r="RAR74" s="278" t="n"/>
      <c r="RAS74" s="278" t="n"/>
      <c r="RAT74" s="278" t="n"/>
      <c r="RAU74" s="278" t="n"/>
      <c r="RAV74" s="278" t="n"/>
      <c r="RAW74" s="278" t="n"/>
      <c r="RAX74" s="278" t="n"/>
      <c r="RAY74" s="278" t="n"/>
      <c r="RAZ74" s="278" t="n"/>
      <c r="RBA74" s="278" t="n"/>
      <c r="RBB74" s="278" t="n"/>
      <c r="RBC74" s="278" t="n"/>
      <c r="RBD74" s="278" t="n"/>
      <c r="RBE74" s="278" t="n"/>
      <c r="RBF74" s="278" t="n"/>
      <c r="RBG74" s="278" t="n"/>
      <c r="RBH74" s="278" t="n"/>
      <c r="RBI74" s="278" t="n"/>
      <c r="RBJ74" s="278" t="n"/>
      <c r="RBK74" s="278" t="n"/>
      <c r="RBL74" s="278" t="n"/>
      <c r="RBM74" s="278" t="n"/>
      <c r="RBN74" s="278" t="n"/>
      <c r="RBO74" s="278" t="n"/>
      <c r="RBP74" s="278" t="n"/>
      <c r="RBQ74" s="278" t="n"/>
      <c r="RBR74" s="278" t="n"/>
      <c r="RBS74" s="278" t="n"/>
      <c r="RBT74" s="278" t="n"/>
      <c r="RBU74" s="278" t="n"/>
      <c r="RBV74" s="278" t="n"/>
      <c r="RBW74" s="278" t="n"/>
      <c r="RBX74" s="278" t="n"/>
      <c r="RBY74" s="278" t="n"/>
      <c r="RBZ74" s="278" t="n"/>
      <c r="RCA74" s="278" t="n"/>
      <c r="RCB74" s="278" t="n"/>
      <c r="RCC74" s="278" t="n"/>
      <c r="RCD74" s="278" t="n"/>
      <c r="RCE74" s="278" t="n"/>
      <c r="RCF74" s="278" t="n"/>
      <c r="RCG74" s="278" t="n"/>
      <c r="RCH74" s="278" t="n"/>
      <c r="RCI74" s="278" t="n"/>
      <c r="RCJ74" s="278" t="n"/>
      <c r="RCK74" s="278" t="n"/>
      <c r="RCL74" s="278" t="n"/>
      <c r="RCM74" s="278" t="n"/>
      <c r="RCN74" s="278" t="n"/>
      <c r="RCO74" s="278" t="n"/>
      <c r="RCP74" s="278" t="n"/>
      <c r="RCQ74" s="278" t="n"/>
      <c r="RCR74" s="278" t="n"/>
      <c r="RCS74" s="278" t="n"/>
      <c r="RCT74" s="278" t="n"/>
      <c r="RCU74" s="278" t="n"/>
      <c r="RCV74" s="278" t="n"/>
      <c r="RCW74" s="278" t="n"/>
      <c r="RCX74" s="278" t="n"/>
      <c r="RCY74" s="278" t="n"/>
      <c r="RCZ74" s="278" t="n"/>
      <c r="RDA74" s="278" t="n"/>
      <c r="RDB74" s="278" t="n"/>
      <c r="RDC74" s="278" t="n"/>
      <c r="RDD74" s="278" t="n"/>
      <c r="RDE74" s="278" t="n"/>
      <c r="RDF74" s="278" t="n"/>
      <c r="RDG74" s="278" t="n"/>
      <c r="RDH74" s="278" t="n"/>
      <c r="RDI74" s="278" t="n"/>
      <c r="RDJ74" s="278" t="n"/>
      <c r="RDK74" s="278" t="n"/>
      <c r="RDL74" s="278" t="n"/>
      <c r="RDM74" s="278" t="n"/>
      <c r="RDN74" s="278" t="n"/>
      <c r="RDO74" s="278" t="n"/>
      <c r="RDP74" s="278" t="n"/>
      <c r="RDQ74" s="278" t="n"/>
      <c r="RDR74" s="278" t="n"/>
      <c r="RDS74" s="278" t="n"/>
      <c r="RDT74" s="278" t="n"/>
      <c r="RDU74" s="278" t="n"/>
      <c r="RDV74" s="278" t="n"/>
      <c r="RDW74" s="278" t="n"/>
      <c r="RDX74" s="278" t="n"/>
      <c r="RDY74" s="278" t="n"/>
      <c r="RDZ74" s="278" t="n"/>
      <c r="REA74" s="278" t="n"/>
      <c r="REB74" s="278" t="n"/>
      <c r="REC74" s="278" t="n"/>
      <c r="RED74" s="278" t="n"/>
      <c r="REE74" s="278" t="n"/>
      <c r="REF74" s="278" t="n"/>
      <c r="REG74" s="278" t="n"/>
      <c r="REH74" s="278" t="n"/>
      <c r="REI74" s="278" t="n"/>
      <c r="REJ74" s="278" t="n"/>
      <c r="REK74" s="278" t="n"/>
      <c r="REL74" s="278" t="n"/>
      <c r="REM74" s="278" t="n"/>
      <c r="REN74" s="278" t="n"/>
      <c r="REO74" s="278" t="n"/>
      <c r="REP74" s="278" t="n"/>
      <c r="REQ74" s="278" t="n"/>
      <c r="RER74" s="278" t="n"/>
      <c r="RES74" s="278" t="n"/>
      <c r="RET74" s="278" t="n"/>
      <c r="REU74" s="278" t="n"/>
      <c r="REV74" s="278" t="n"/>
      <c r="REW74" s="278" t="n"/>
      <c r="REX74" s="278" t="n"/>
      <c r="REY74" s="278" t="n"/>
      <c r="REZ74" s="278" t="n"/>
      <c r="RFA74" s="278" t="n"/>
      <c r="RFB74" s="278" t="n"/>
      <c r="RFC74" s="278" t="n"/>
      <c r="RFD74" s="278" t="n"/>
      <c r="RFE74" s="278" t="n"/>
      <c r="RFF74" s="278" t="n"/>
      <c r="RFG74" s="278" t="n"/>
      <c r="RFH74" s="278" t="n"/>
      <c r="RFI74" s="278" t="n"/>
      <c r="RFJ74" s="278" t="n"/>
      <c r="RFK74" s="278" t="n"/>
      <c r="RFL74" s="278" t="n"/>
      <c r="RFM74" s="278" t="n"/>
      <c r="RFN74" s="278" t="n"/>
      <c r="RFO74" s="278" t="n"/>
      <c r="RFP74" s="278" t="n"/>
      <c r="RFQ74" s="278" t="n"/>
      <c r="RFR74" s="278" t="n"/>
      <c r="RFS74" s="278" t="n"/>
      <c r="RFT74" s="278" t="n"/>
      <c r="RFU74" s="278" t="n"/>
      <c r="RFV74" s="278" t="n"/>
      <c r="RFW74" s="278" t="n"/>
      <c r="RFX74" s="278" t="n"/>
      <c r="RFY74" s="278" t="n"/>
      <c r="RFZ74" s="278" t="n"/>
      <c r="RGA74" s="278" t="n"/>
      <c r="RGB74" s="278" t="n"/>
      <c r="RGC74" s="278" t="n"/>
      <c r="RGD74" s="278" t="n"/>
      <c r="RGE74" s="278" t="n"/>
      <c r="RGF74" s="278" t="n"/>
      <c r="RGG74" s="278" t="n"/>
      <c r="RGH74" s="278" t="n"/>
      <c r="RGI74" s="278" t="n"/>
      <c r="RGJ74" s="278" t="n"/>
      <c r="RGK74" s="278" t="n"/>
      <c r="RGL74" s="278" t="n"/>
      <c r="RGM74" s="278" t="n"/>
      <c r="RGN74" s="278" t="n"/>
      <c r="RGO74" s="278" t="n"/>
      <c r="RGP74" s="278" t="n"/>
      <c r="RGQ74" s="278" t="n"/>
      <c r="RGR74" s="278" t="n"/>
      <c r="RGS74" s="278" t="n"/>
      <c r="RGT74" s="278" t="n"/>
      <c r="RGU74" s="278" t="n"/>
      <c r="RGV74" s="278" t="n"/>
      <c r="RGW74" s="278" t="n"/>
      <c r="RGX74" s="278" t="n"/>
      <c r="RGY74" s="278" t="n"/>
      <c r="RGZ74" s="278" t="n"/>
      <c r="RHA74" s="278" t="n"/>
      <c r="RHB74" s="278" t="n"/>
      <c r="RHC74" s="278" t="n"/>
      <c r="RHD74" s="278" t="n"/>
      <c r="RHE74" s="278" t="n"/>
      <c r="RHF74" s="278" t="n"/>
      <c r="RHG74" s="278" t="n"/>
      <c r="RHH74" s="278" t="n"/>
      <c r="RHI74" s="278" t="n"/>
      <c r="RHJ74" s="278" t="n"/>
      <c r="RHK74" s="278" t="n"/>
      <c r="RHL74" s="278" t="n"/>
      <c r="RHM74" s="278" t="n"/>
      <c r="RHN74" s="278" t="n"/>
      <c r="RHO74" s="278" t="n"/>
      <c r="RHP74" s="278" t="n"/>
      <c r="RHQ74" s="278" t="n"/>
      <c r="RHR74" s="278" t="n"/>
      <c r="RHS74" s="278" t="n"/>
      <c r="RHT74" s="278" t="n"/>
      <c r="RHU74" s="278" t="n"/>
      <c r="RHV74" s="278" t="n"/>
      <c r="RHW74" s="278" t="n"/>
      <c r="RHX74" s="278" t="n"/>
      <c r="RHY74" s="278" t="n"/>
      <c r="RHZ74" s="278" t="n"/>
      <c r="RIA74" s="278" t="n"/>
      <c r="RIB74" s="278" t="n"/>
      <c r="RIC74" s="278" t="n"/>
      <c r="RID74" s="278" t="n"/>
      <c r="RIE74" s="278" t="n"/>
      <c r="RIF74" s="278" t="n"/>
      <c r="RIG74" s="278" t="n"/>
      <c r="RIH74" s="278" t="n"/>
      <c r="RII74" s="278" t="n"/>
      <c r="RIJ74" s="278" t="n"/>
      <c r="RIK74" s="278" t="n"/>
      <c r="RIL74" s="278" t="n"/>
      <c r="RIM74" s="278" t="n"/>
      <c r="RIN74" s="278" t="n"/>
      <c r="RIO74" s="278" t="n"/>
      <c r="RIP74" s="278" t="n"/>
      <c r="RIQ74" s="278" t="n"/>
      <c r="RIR74" s="278" t="n"/>
      <c r="RIS74" s="278" t="n"/>
      <c r="RIT74" s="278" t="n"/>
      <c r="RIU74" s="278" t="n"/>
      <c r="RIV74" s="278" t="n"/>
      <c r="RIW74" s="278" t="n"/>
      <c r="RIX74" s="278" t="n"/>
      <c r="RIY74" s="278" t="n"/>
      <c r="RIZ74" s="278" t="n"/>
      <c r="RJA74" s="278" t="n"/>
      <c r="RJB74" s="278" t="n"/>
      <c r="RJC74" s="278" t="n"/>
      <c r="RJD74" s="278" t="n"/>
      <c r="RJE74" s="278" t="n"/>
      <c r="RJF74" s="278" t="n"/>
      <c r="RJG74" s="278" t="n"/>
      <c r="RJH74" s="278" t="n"/>
      <c r="RJI74" s="278" t="n"/>
      <c r="RJJ74" s="278" t="n"/>
      <c r="RJK74" s="278" t="n"/>
      <c r="RJL74" s="278" t="n"/>
      <c r="RJM74" s="278" t="n"/>
      <c r="RJN74" s="278" t="n"/>
      <c r="RJO74" s="278" t="n"/>
      <c r="RJP74" s="278" t="n"/>
      <c r="RJQ74" s="278" t="n"/>
      <c r="RJR74" s="278" t="n"/>
      <c r="RJS74" s="278" t="n"/>
      <c r="RJT74" s="278" t="n"/>
      <c r="RJU74" s="278" t="n"/>
      <c r="RJV74" s="278" t="n"/>
      <c r="RJW74" s="278" t="n"/>
      <c r="RJX74" s="278" t="n"/>
      <c r="RJY74" s="278" t="n"/>
      <c r="RJZ74" s="278" t="n"/>
      <c r="RKA74" s="278" t="n"/>
      <c r="RKB74" s="278" t="n"/>
      <c r="RKC74" s="278" t="n"/>
      <c r="RKD74" s="278" t="n"/>
      <c r="RKE74" s="278" t="n"/>
      <c r="RKF74" s="278" t="n"/>
      <c r="RKG74" s="278" t="n"/>
      <c r="RKH74" s="278" t="n"/>
      <c r="RKI74" s="278" t="n"/>
      <c r="RKJ74" s="278" t="n"/>
      <c r="RKK74" s="278" t="n"/>
      <c r="RKL74" s="278" t="n"/>
      <c r="RKM74" s="278" t="n"/>
      <c r="RKN74" s="278" t="n"/>
      <c r="RKO74" s="278" t="n"/>
      <c r="RKP74" s="278" t="n"/>
      <c r="RKQ74" s="278" t="n"/>
      <c r="RKR74" s="278" t="n"/>
      <c r="RKS74" s="278" t="n"/>
      <c r="RKT74" s="278" t="n"/>
      <c r="RKU74" s="278" t="n"/>
      <c r="RKV74" s="278" t="n"/>
      <c r="RKW74" s="278" t="n"/>
      <c r="RKX74" s="278" t="n"/>
      <c r="RKY74" s="278" t="n"/>
      <c r="RKZ74" s="278" t="n"/>
      <c r="RLA74" s="278" t="n"/>
      <c r="RLB74" s="278" t="n"/>
      <c r="RLC74" s="278" t="n"/>
      <c r="RLD74" s="278" t="n"/>
      <c r="RLE74" s="278" t="n"/>
      <c r="RLF74" s="278" t="n"/>
      <c r="RLG74" s="278" t="n"/>
      <c r="RLH74" s="278" t="n"/>
      <c r="RLI74" s="278" t="n"/>
      <c r="RLJ74" s="278" t="n"/>
      <c r="RLK74" s="278" t="n"/>
      <c r="RLL74" s="278" t="n"/>
      <c r="RLM74" s="278" t="n"/>
      <c r="RLN74" s="278" t="n"/>
      <c r="RLO74" s="278" t="n"/>
      <c r="RLP74" s="278" t="n"/>
      <c r="RLQ74" s="278" t="n"/>
      <c r="RLR74" s="278" t="n"/>
      <c r="RLS74" s="278" t="n"/>
      <c r="RLT74" s="278" t="n"/>
      <c r="RLU74" s="278" t="n"/>
      <c r="RLV74" s="278" t="n"/>
      <c r="RLW74" s="278" t="n"/>
      <c r="RLX74" s="278" t="n"/>
      <c r="RLY74" s="278" t="n"/>
      <c r="RLZ74" s="278" t="n"/>
      <c r="RMA74" s="278" t="n"/>
      <c r="RMB74" s="278" t="n"/>
      <c r="RMC74" s="278" t="n"/>
      <c r="RMD74" s="278" t="n"/>
      <c r="RME74" s="278" t="n"/>
      <c r="RMF74" s="278" t="n"/>
      <c r="RMG74" s="278" t="n"/>
      <c r="RMH74" s="278" t="n"/>
      <c r="RMI74" s="278" t="n"/>
      <c r="RMJ74" s="278" t="n"/>
      <c r="RMK74" s="278" t="n"/>
      <c r="RML74" s="278" t="n"/>
      <c r="RMM74" s="278" t="n"/>
      <c r="RMN74" s="278" t="n"/>
      <c r="RMO74" s="278" t="n"/>
      <c r="RMP74" s="278" t="n"/>
      <c r="RMQ74" s="278" t="n"/>
      <c r="RMR74" s="278" t="n"/>
      <c r="RMS74" s="278" t="n"/>
      <c r="RMT74" s="278" t="n"/>
      <c r="RMU74" s="278" t="n"/>
      <c r="RMV74" s="278" t="n"/>
      <c r="RMW74" s="278" t="n"/>
      <c r="RMX74" s="278" t="n"/>
      <c r="RMY74" s="278" t="n"/>
      <c r="RMZ74" s="278" t="n"/>
      <c r="RNA74" s="278" t="n"/>
      <c r="RNB74" s="278" t="n"/>
      <c r="RNC74" s="278" t="n"/>
      <c r="RND74" s="278" t="n"/>
      <c r="RNE74" s="278" t="n"/>
      <c r="RNF74" s="278" t="n"/>
      <c r="RNG74" s="278" t="n"/>
      <c r="RNH74" s="278" t="n"/>
      <c r="RNI74" s="278" t="n"/>
      <c r="RNJ74" s="278" t="n"/>
      <c r="RNK74" s="278" t="n"/>
      <c r="RNL74" s="278" t="n"/>
      <c r="RNM74" s="278" t="n"/>
      <c r="RNN74" s="278" t="n"/>
      <c r="RNO74" s="278" t="n"/>
      <c r="RNP74" s="278" t="n"/>
      <c r="RNQ74" s="278" t="n"/>
      <c r="RNR74" s="278" t="n"/>
      <c r="RNS74" s="278" t="n"/>
      <c r="RNT74" s="278" t="n"/>
      <c r="RNU74" s="278" t="n"/>
      <c r="RNV74" s="278" t="n"/>
      <c r="RNW74" s="278" t="n"/>
      <c r="RNX74" s="278" t="n"/>
      <c r="RNY74" s="278" t="n"/>
      <c r="RNZ74" s="278" t="n"/>
      <c r="ROA74" s="278" t="n"/>
      <c r="ROB74" s="278" t="n"/>
      <c r="ROC74" s="278" t="n"/>
      <c r="ROD74" s="278" t="n"/>
      <c r="ROE74" s="278" t="n"/>
      <c r="ROF74" s="278" t="n"/>
      <c r="ROG74" s="278" t="n"/>
      <c r="ROH74" s="278" t="n"/>
      <c r="ROI74" s="278" t="n"/>
      <c r="ROJ74" s="278" t="n"/>
      <c r="ROK74" s="278" t="n"/>
      <c r="ROL74" s="278" t="n"/>
      <c r="ROM74" s="278" t="n"/>
      <c r="RON74" s="278" t="n"/>
      <c r="ROO74" s="278" t="n"/>
      <c r="ROP74" s="278" t="n"/>
      <c r="ROQ74" s="278" t="n"/>
      <c r="ROR74" s="278" t="n"/>
      <c r="ROS74" s="278" t="n"/>
      <c r="ROT74" s="278" t="n"/>
      <c r="ROU74" s="278" t="n"/>
      <c r="ROV74" s="278" t="n"/>
      <c r="ROW74" s="278" t="n"/>
      <c r="ROX74" s="278" t="n"/>
      <c r="ROY74" s="278" t="n"/>
      <c r="ROZ74" s="278" t="n"/>
      <c r="RPA74" s="278" t="n"/>
      <c r="RPB74" s="278" t="n"/>
      <c r="RPC74" s="278" t="n"/>
      <c r="RPD74" s="278" t="n"/>
      <c r="RPE74" s="278" t="n"/>
      <c r="RPF74" s="278" t="n"/>
      <c r="RPG74" s="278" t="n"/>
      <c r="RPH74" s="278" t="n"/>
      <c r="RPI74" s="278" t="n"/>
      <c r="RPJ74" s="278" t="n"/>
      <c r="RPK74" s="278" t="n"/>
      <c r="RPL74" s="278" t="n"/>
      <c r="RPM74" s="278" t="n"/>
      <c r="RPN74" s="278" t="n"/>
      <c r="RPO74" s="278" t="n"/>
      <c r="RPP74" s="278" t="n"/>
      <c r="RPQ74" s="278" t="n"/>
      <c r="RPR74" s="278" t="n"/>
      <c r="RPS74" s="278" t="n"/>
      <c r="RPT74" s="278" t="n"/>
      <c r="RPU74" s="278" t="n"/>
      <c r="RPV74" s="278" t="n"/>
      <c r="RPW74" s="278" t="n"/>
      <c r="RPX74" s="278" t="n"/>
      <c r="RPY74" s="278" t="n"/>
      <c r="RPZ74" s="278" t="n"/>
      <c r="RQA74" s="278" t="n"/>
      <c r="RQB74" s="278" t="n"/>
      <c r="RQC74" s="278" t="n"/>
      <c r="RQD74" s="278" t="n"/>
      <c r="RQE74" s="278" t="n"/>
      <c r="RQF74" s="278" t="n"/>
      <c r="RQG74" s="278" t="n"/>
      <c r="RQH74" s="278" t="n"/>
      <c r="RQI74" s="278" t="n"/>
      <c r="RQJ74" s="278" t="n"/>
      <c r="RQK74" s="278" t="n"/>
      <c r="RQL74" s="278" t="n"/>
      <c r="RQM74" s="278" t="n"/>
      <c r="RQN74" s="278" t="n"/>
      <c r="RQO74" s="278" t="n"/>
      <c r="RQP74" s="278" t="n"/>
      <c r="RQQ74" s="278" t="n"/>
      <c r="RQR74" s="278" t="n"/>
      <c r="RQS74" s="278" t="n"/>
      <c r="RQT74" s="278" t="n"/>
      <c r="RQU74" s="278" t="n"/>
      <c r="RQV74" s="278" t="n"/>
      <c r="RQW74" s="278" t="n"/>
      <c r="RQX74" s="278" t="n"/>
      <c r="RQY74" s="278" t="n"/>
      <c r="RQZ74" s="278" t="n"/>
      <c r="RRA74" s="278" t="n"/>
      <c r="RRB74" s="278" t="n"/>
      <c r="RRC74" s="278" t="n"/>
      <c r="RRD74" s="278" t="n"/>
      <c r="RRE74" s="278" t="n"/>
      <c r="RRF74" s="278" t="n"/>
      <c r="RRG74" s="278" t="n"/>
      <c r="RRH74" s="278" t="n"/>
      <c r="RRI74" s="278" t="n"/>
      <c r="RRJ74" s="278" t="n"/>
      <c r="RRK74" s="278" t="n"/>
      <c r="RRL74" s="278" t="n"/>
      <c r="RRM74" s="278" t="n"/>
      <c r="RRN74" s="278" t="n"/>
      <c r="RRO74" s="278" t="n"/>
      <c r="RRP74" s="278" t="n"/>
      <c r="RRQ74" s="278" t="n"/>
      <c r="RRR74" s="278" t="n"/>
      <c r="RRS74" s="278" t="n"/>
      <c r="RRT74" s="278" t="n"/>
      <c r="RRU74" s="278" t="n"/>
      <c r="RRV74" s="278" t="n"/>
      <c r="RRW74" s="278" t="n"/>
      <c r="RRX74" s="278" t="n"/>
      <c r="RRY74" s="278" t="n"/>
      <c r="RRZ74" s="278" t="n"/>
      <c r="RSA74" s="278" t="n"/>
      <c r="RSB74" s="278" t="n"/>
      <c r="RSC74" s="278" t="n"/>
      <c r="RSD74" s="278" t="n"/>
      <c r="RSE74" s="278" t="n"/>
      <c r="RSF74" s="278" t="n"/>
      <c r="RSG74" s="278" t="n"/>
      <c r="RSH74" s="278" t="n"/>
      <c r="RSI74" s="278" t="n"/>
      <c r="RSJ74" s="278" t="n"/>
      <c r="RSK74" s="278" t="n"/>
      <c r="RSL74" s="278" t="n"/>
      <c r="RSM74" s="278" t="n"/>
      <c r="RSN74" s="278" t="n"/>
      <c r="RSO74" s="278" t="n"/>
      <c r="RSP74" s="278" t="n"/>
      <c r="RSQ74" s="278" t="n"/>
      <c r="RSR74" s="278" t="n"/>
      <c r="RSS74" s="278" t="n"/>
      <c r="RST74" s="278" t="n"/>
      <c r="RSU74" s="278" t="n"/>
      <c r="RSV74" s="278" t="n"/>
      <c r="RSW74" s="278" t="n"/>
      <c r="RSX74" s="278" t="n"/>
      <c r="RSY74" s="278" t="n"/>
      <c r="RSZ74" s="278" t="n"/>
      <c r="RTA74" s="278" t="n"/>
      <c r="RTB74" s="278" t="n"/>
      <c r="RTC74" s="278" t="n"/>
      <c r="RTD74" s="278" t="n"/>
      <c r="RTE74" s="278" t="n"/>
      <c r="RTF74" s="278" t="n"/>
      <c r="RTG74" s="278" t="n"/>
      <c r="RTH74" s="278" t="n"/>
      <c r="RTI74" s="278" t="n"/>
      <c r="RTJ74" s="278" t="n"/>
      <c r="RTK74" s="278" t="n"/>
      <c r="RTL74" s="278" t="n"/>
      <c r="RTM74" s="278" t="n"/>
      <c r="RTN74" s="278" t="n"/>
      <c r="RTO74" s="278" t="n"/>
      <c r="RTP74" s="278" t="n"/>
      <c r="RTQ74" s="278" t="n"/>
      <c r="RTR74" s="278" t="n"/>
      <c r="RTS74" s="278" t="n"/>
      <c r="RTT74" s="278" t="n"/>
      <c r="RTU74" s="278" t="n"/>
      <c r="RTV74" s="278" t="n"/>
      <c r="RTW74" s="278" t="n"/>
      <c r="RTX74" s="278" t="n"/>
      <c r="RTY74" s="278" t="n"/>
      <c r="RTZ74" s="278" t="n"/>
      <c r="RUA74" s="278" t="n"/>
      <c r="RUB74" s="278" t="n"/>
      <c r="RUC74" s="278" t="n"/>
      <c r="RUD74" s="278" t="n"/>
      <c r="RUE74" s="278" t="n"/>
      <c r="RUF74" s="278" t="n"/>
      <c r="RUG74" s="278" t="n"/>
      <c r="RUH74" s="278" t="n"/>
      <c r="RUI74" s="278" t="n"/>
      <c r="RUJ74" s="278" t="n"/>
      <c r="RUK74" s="278" t="n"/>
      <c r="RUL74" s="278" t="n"/>
      <c r="RUM74" s="278" t="n"/>
      <c r="RUN74" s="278" t="n"/>
      <c r="RUO74" s="278" t="n"/>
      <c r="RUP74" s="278" t="n"/>
      <c r="RUQ74" s="278" t="n"/>
      <c r="RUR74" s="278" t="n"/>
      <c r="RUS74" s="278" t="n"/>
      <c r="RUT74" s="278" t="n"/>
      <c r="RUU74" s="278" t="n"/>
      <c r="RUV74" s="278" t="n"/>
      <c r="RUW74" s="278" t="n"/>
      <c r="RUX74" s="278" t="n"/>
      <c r="RUY74" s="278" t="n"/>
      <c r="RUZ74" s="278" t="n"/>
      <c r="RVA74" s="278" t="n"/>
      <c r="RVB74" s="278" t="n"/>
      <c r="RVC74" s="278" t="n"/>
      <c r="RVD74" s="278" t="n"/>
      <c r="RVE74" s="278" t="n"/>
      <c r="RVF74" s="278" t="n"/>
      <c r="RVG74" s="278" t="n"/>
      <c r="RVH74" s="278" t="n"/>
      <c r="RVI74" s="278" t="n"/>
      <c r="RVJ74" s="278" t="n"/>
      <c r="RVK74" s="278" t="n"/>
      <c r="RVL74" s="278" t="n"/>
      <c r="RVM74" s="278" t="n"/>
      <c r="RVN74" s="278" t="n"/>
      <c r="RVO74" s="278" t="n"/>
      <c r="RVP74" s="278" t="n"/>
      <c r="RVQ74" s="278" t="n"/>
      <c r="RVR74" s="278" t="n"/>
      <c r="RVS74" s="278" t="n"/>
      <c r="RVT74" s="278" t="n"/>
      <c r="RVU74" s="278" t="n"/>
      <c r="RVV74" s="278" t="n"/>
      <c r="RVW74" s="278" t="n"/>
      <c r="RVX74" s="278" t="n"/>
      <c r="RVY74" s="278" t="n"/>
      <c r="RVZ74" s="278" t="n"/>
      <c r="RWA74" s="278" t="n"/>
      <c r="RWB74" s="278" t="n"/>
      <c r="RWC74" s="278" t="n"/>
      <c r="RWD74" s="278" t="n"/>
      <c r="RWE74" s="278" t="n"/>
      <c r="RWF74" s="278" t="n"/>
      <c r="RWG74" s="278" t="n"/>
      <c r="RWH74" s="278" t="n"/>
      <c r="RWI74" s="278" t="n"/>
      <c r="RWJ74" s="278" t="n"/>
      <c r="RWK74" s="278" t="n"/>
      <c r="RWL74" s="278" t="n"/>
      <c r="RWM74" s="278" t="n"/>
      <c r="RWN74" s="278" t="n"/>
      <c r="RWO74" s="278" t="n"/>
      <c r="RWP74" s="278" t="n"/>
      <c r="RWQ74" s="278" t="n"/>
      <c r="RWR74" s="278" t="n"/>
      <c r="RWS74" s="278" t="n"/>
      <c r="RWT74" s="278" t="n"/>
      <c r="RWU74" s="278" t="n"/>
      <c r="RWV74" s="278" t="n"/>
      <c r="RWW74" s="278" t="n"/>
      <c r="RWX74" s="278" t="n"/>
      <c r="RWY74" s="278" t="n"/>
      <c r="RWZ74" s="278" t="n"/>
      <c r="RXA74" s="278" t="n"/>
      <c r="RXB74" s="278" t="n"/>
      <c r="RXC74" s="278" t="n"/>
      <c r="RXD74" s="278" t="n"/>
      <c r="RXE74" s="278" t="n"/>
      <c r="RXF74" s="278" t="n"/>
      <c r="RXG74" s="278" t="n"/>
      <c r="RXH74" s="278" t="n"/>
      <c r="RXI74" s="278" t="n"/>
      <c r="RXJ74" s="278" t="n"/>
      <c r="RXK74" s="278" t="n"/>
      <c r="RXL74" s="278" t="n"/>
      <c r="RXM74" s="278" t="n"/>
      <c r="RXN74" s="278" t="n"/>
      <c r="RXO74" s="278" t="n"/>
      <c r="RXP74" s="278" t="n"/>
      <c r="RXQ74" s="278" t="n"/>
      <c r="RXR74" s="278" t="n"/>
      <c r="RXS74" s="278" t="n"/>
      <c r="RXT74" s="278" t="n"/>
      <c r="RXU74" s="278" t="n"/>
      <c r="RXV74" s="278" t="n"/>
      <c r="RXW74" s="278" t="n"/>
      <c r="RXX74" s="278" t="n"/>
      <c r="RXY74" s="278" t="n"/>
      <c r="RXZ74" s="278" t="n"/>
      <c r="RYA74" s="278" t="n"/>
      <c r="RYB74" s="278" t="n"/>
      <c r="RYC74" s="278" t="n"/>
      <c r="RYD74" s="278" t="n"/>
      <c r="RYE74" s="278" t="n"/>
      <c r="RYF74" s="278" t="n"/>
      <c r="RYG74" s="278" t="n"/>
      <c r="RYH74" s="278" t="n"/>
      <c r="RYI74" s="278" t="n"/>
      <c r="RYJ74" s="278" t="n"/>
      <c r="RYK74" s="278" t="n"/>
      <c r="RYL74" s="278" t="n"/>
      <c r="RYM74" s="278" t="n"/>
      <c r="RYN74" s="278" t="n"/>
      <c r="RYO74" s="278" t="n"/>
      <c r="RYP74" s="278" t="n"/>
      <c r="RYQ74" s="278" t="n"/>
      <c r="RYR74" s="278" t="n"/>
      <c r="RYS74" s="278" t="n"/>
      <c r="RYT74" s="278" t="n"/>
      <c r="RYU74" s="278" t="n"/>
      <c r="RYV74" s="278" t="n"/>
      <c r="RYW74" s="278" t="n"/>
      <c r="RYX74" s="278" t="n"/>
      <c r="RYY74" s="278" t="n"/>
      <c r="RYZ74" s="278" t="n"/>
      <c r="RZA74" s="278" t="n"/>
      <c r="RZB74" s="278" t="n"/>
      <c r="RZC74" s="278" t="n"/>
      <c r="RZD74" s="278" t="n"/>
      <c r="RZE74" s="278" t="n"/>
      <c r="RZF74" s="278" t="n"/>
      <c r="RZG74" s="278" t="n"/>
      <c r="RZH74" s="278" t="n"/>
      <c r="RZI74" s="278" t="n"/>
      <c r="RZJ74" s="278" t="n"/>
      <c r="RZK74" s="278" t="n"/>
      <c r="RZL74" s="278" t="n"/>
      <c r="RZM74" s="278" t="n"/>
      <c r="RZN74" s="278" t="n"/>
      <c r="RZO74" s="278" t="n"/>
      <c r="RZP74" s="278" t="n"/>
      <c r="RZQ74" s="278" t="n"/>
      <c r="RZR74" s="278" t="n"/>
      <c r="RZS74" s="278" t="n"/>
      <c r="RZT74" s="278" t="n"/>
      <c r="RZU74" s="278" t="n"/>
      <c r="RZV74" s="278" t="n"/>
      <c r="RZW74" s="278" t="n"/>
      <c r="RZX74" s="278" t="n"/>
      <c r="RZY74" s="278" t="n"/>
      <c r="RZZ74" s="278" t="n"/>
      <c r="SAA74" s="278" t="n"/>
      <c r="SAB74" s="278" t="n"/>
      <c r="SAC74" s="278" t="n"/>
      <c r="SAD74" s="278" t="n"/>
      <c r="SAE74" s="278" t="n"/>
      <c r="SAF74" s="278" t="n"/>
      <c r="SAG74" s="278" t="n"/>
      <c r="SAH74" s="278" t="n"/>
      <c r="SAI74" s="278" t="n"/>
      <c r="SAJ74" s="278" t="n"/>
      <c r="SAK74" s="278" t="n"/>
      <c r="SAL74" s="278" t="n"/>
      <c r="SAM74" s="278" t="n"/>
      <c r="SAN74" s="278" t="n"/>
      <c r="SAO74" s="278" t="n"/>
      <c r="SAP74" s="278" t="n"/>
      <c r="SAQ74" s="278" t="n"/>
      <c r="SAR74" s="278" t="n"/>
      <c r="SAS74" s="278" t="n"/>
      <c r="SAT74" s="278" t="n"/>
      <c r="SAU74" s="278" t="n"/>
      <c r="SAV74" s="278" t="n"/>
      <c r="SAW74" s="278" t="n"/>
      <c r="SAX74" s="278" t="n"/>
      <c r="SAY74" s="278" t="n"/>
      <c r="SAZ74" s="278" t="n"/>
      <c r="SBA74" s="278" t="n"/>
      <c r="SBB74" s="278" t="n"/>
      <c r="SBC74" s="278" t="n"/>
      <c r="SBD74" s="278" t="n"/>
      <c r="SBE74" s="278" t="n"/>
      <c r="SBF74" s="278" t="n"/>
      <c r="SBG74" s="278" t="n"/>
      <c r="SBH74" s="278" t="n"/>
      <c r="SBI74" s="278" t="n"/>
      <c r="SBJ74" s="278" t="n"/>
      <c r="SBK74" s="278" t="n"/>
      <c r="SBL74" s="278" t="n"/>
      <c r="SBM74" s="278" t="n"/>
      <c r="SBN74" s="278" t="n"/>
      <c r="SBO74" s="278" t="n"/>
      <c r="SBP74" s="278" t="n"/>
      <c r="SBQ74" s="278" t="n"/>
      <c r="SBR74" s="278" t="n"/>
      <c r="SBS74" s="278" t="n"/>
      <c r="SBT74" s="278" t="n"/>
      <c r="SBU74" s="278" t="n"/>
      <c r="SBV74" s="278" t="n"/>
      <c r="SBW74" s="278" t="n"/>
      <c r="SBX74" s="278" t="n"/>
      <c r="SBY74" s="278" t="n"/>
      <c r="SBZ74" s="278" t="n"/>
      <c r="SCA74" s="278" t="n"/>
      <c r="SCB74" s="278" t="n"/>
      <c r="SCC74" s="278" t="n"/>
      <c r="SCD74" s="278" t="n"/>
      <c r="SCE74" s="278" t="n"/>
      <c r="SCF74" s="278" t="n"/>
      <c r="SCG74" s="278" t="n"/>
      <c r="SCH74" s="278" t="n"/>
      <c r="SCI74" s="278" t="n"/>
      <c r="SCJ74" s="278" t="n"/>
      <c r="SCK74" s="278" t="n"/>
      <c r="SCL74" s="278" t="n"/>
      <c r="SCM74" s="278" t="n"/>
      <c r="SCN74" s="278" t="n"/>
      <c r="SCO74" s="278" t="n"/>
      <c r="SCP74" s="278" t="n"/>
      <c r="SCQ74" s="278" t="n"/>
      <c r="SCR74" s="278" t="n"/>
      <c r="SCS74" s="278" t="n"/>
      <c r="SCT74" s="278" t="n"/>
      <c r="SCU74" s="278" t="n"/>
      <c r="SCV74" s="278" t="n"/>
      <c r="SCW74" s="278" t="n"/>
      <c r="SCX74" s="278" t="n"/>
      <c r="SCY74" s="278" t="n"/>
      <c r="SCZ74" s="278" t="n"/>
      <c r="SDA74" s="278" t="n"/>
      <c r="SDB74" s="278" t="n"/>
      <c r="SDC74" s="278" t="n"/>
      <c r="SDD74" s="278" t="n"/>
      <c r="SDE74" s="278" t="n"/>
      <c r="SDF74" s="278" t="n"/>
      <c r="SDG74" s="278" t="n"/>
      <c r="SDH74" s="278" t="n"/>
      <c r="SDI74" s="278" t="n"/>
      <c r="SDJ74" s="278" t="n"/>
      <c r="SDK74" s="278" t="n"/>
      <c r="SDL74" s="278" t="n"/>
      <c r="SDM74" s="278" t="n"/>
      <c r="SDN74" s="278" t="n"/>
      <c r="SDO74" s="278" t="n"/>
      <c r="SDP74" s="278" t="n"/>
      <c r="SDQ74" s="278" t="n"/>
      <c r="SDR74" s="278" t="n"/>
      <c r="SDS74" s="278" t="n"/>
      <c r="SDT74" s="278" t="n"/>
      <c r="SDU74" s="278" t="n"/>
      <c r="SDV74" s="278" t="n"/>
      <c r="SDW74" s="278" t="n"/>
      <c r="SDX74" s="278" t="n"/>
      <c r="SDY74" s="278" t="n"/>
      <c r="SDZ74" s="278" t="n"/>
      <c r="SEA74" s="278" t="n"/>
      <c r="SEB74" s="278" t="n"/>
      <c r="SEC74" s="278" t="n"/>
      <c r="SED74" s="278" t="n"/>
      <c r="SEE74" s="278" t="n"/>
      <c r="SEF74" s="278" t="n"/>
      <c r="SEG74" s="278" t="n"/>
      <c r="SEH74" s="278" t="n"/>
      <c r="SEI74" s="278" t="n"/>
      <c r="SEJ74" s="278" t="n"/>
      <c r="SEK74" s="278" t="n"/>
      <c r="SEL74" s="278" t="n"/>
      <c r="SEM74" s="278" t="n"/>
      <c r="SEN74" s="278" t="n"/>
      <c r="SEO74" s="278" t="n"/>
      <c r="SEP74" s="278" t="n"/>
      <c r="SEQ74" s="278" t="n"/>
      <c r="SER74" s="278" t="n"/>
      <c r="SES74" s="278" t="n"/>
      <c r="SET74" s="278" t="n"/>
      <c r="SEU74" s="278" t="n"/>
      <c r="SEV74" s="278" t="n"/>
      <c r="SEW74" s="278" t="n"/>
      <c r="SEX74" s="278" t="n"/>
      <c r="SEY74" s="278" t="n"/>
      <c r="SEZ74" s="278" t="n"/>
      <c r="SFA74" s="278" t="n"/>
      <c r="SFB74" s="278" t="n"/>
      <c r="SFC74" s="278" t="n"/>
      <c r="SFD74" s="278" t="n"/>
      <c r="SFE74" s="278" t="n"/>
      <c r="SFF74" s="278" t="n"/>
      <c r="SFG74" s="278" t="n"/>
      <c r="SFH74" s="278" t="n"/>
      <c r="SFI74" s="278" t="n"/>
      <c r="SFJ74" s="278" t="n"/>
      <c r="SFK74" s="278" t="n"/>
      <c r="SFL74" s="278" t="n"/>
      <c r="SFM74" s="278" t="n"/>
      <c r="SFN74" s="278" t="n"/>
      <c r="SFO74" s="278" t="n"/>
      <c r="SFP74" s="278" t="n"/>
      <c r="SFQ74" s="278" t="n"/>
      <c r="SFR74" s="278" t="n"/>
      <c r="SFS74" s="278" t="n"/>
      <c r="SFT74" s="278" t="n"/>
      <c r="SFU74" s="278" t="n"/>
      <c r="SFV74" s="278" t="n"/>
      <c r="SFW74" s="278" t="n"/>
      <c r="SFX74" s="278" t="n"/>
      <c r="SFY74" s="278" t="n"/>
      <c r="SFZ74" s="278" t="n"/>
      <c r="SGA74" s="278" t="n"/>
      <c r="SGB74" s="278" t="n"/>
      <c r="SGC74" s="278" t="n"/>
      <c r="SGD74" s="278" t="n"/>
      <c r="SGE74" s="278" t="n"/>
      <c r="SGF74" s="278" t="n"/>
      <c r="SGG74" s="278" t="n"/>
      <c r="SGH74" s="278" t="n"/>
      <c r="SGI74" s="278" t="n"/>
      <c r="SGJ74" s="278" t="n"/>
      <c r="SGK74" s="278" t="n"/>
      <c r="SGL74" s="278" t="n"/>
      <c r="SGM74" s="278" t="n"/>
      <c r="SGN74" s="278" t="n"/>
      <c r="SGO74" s="278" t="n"/>
      <c r="SGP74" s="278" t="n"/>
      <c r="SGQ74" s="278" t="n"/>
      <c r="SGR74" s="278" t="n"/>
      <c r="SGS74" s="278" t="n"/>
      <c r="SGT74" s="278" t="n"/>
      <c r="SGU74" s="278" t="n"/>
      <c r="SGV74" s="278" t="n"/>
      <c r="SGW74" s="278" t="n"/>
      <c r="SGX74" s="278" t="n"/>
      <c r="SGY74" s="278" t="n"/>
      <c r="SGZ74" s="278" t="n"/>
      <c r="SHA74" s="278" t="n"/>
      <c r="SHB74" s="278" t="n"/>
      <c r="SHC74" s="278" t="n"/>
      <c r="SHD74" s="278" t="n"/>
      <c r="SHE74" s="278" t="n"/>
      <c r="SHF74" s="278" t="n"/>
      <c r="SHG74" s="278" t="n"/>
      <c r="SHH74" s="278" t="n"/>
      <c r="SHI74" s="278" t="n"/>
      <c r="SHJ74" s="278" t="n"/>
      <c r="SHK74" s="278" t="n"/>
      <c r="SHL74" s="278" t="n"/>
      <c r="SHM74" s="278" t="n"/>
      <c r="SHN74" s="278" t="n"/>
      <c r="SHO74" s="278" t="n"/>
      <c r="SHP74" s="278" t="n"/>
      <c r="SHQ74" s="278" t="n"/>
      <c r="SHR74" s="278" t="n"/>
      <c r="SHS74" s="278" t="n"/>
      <c r="SHT74" s="278" t="n"/>
      <c r="SHU74" s="278" t="n"/>
      <c r="SHV74" s="278" t="n"/>
      <c r="SHW74" s="278" t="n"/>
      <c r="SHX74" s="278" t="n"/>
      <c r="SHY74" s="278" t="n"/>
      <c r="SHZ74" s="278" t="n"/>
      <c r="SIA74" s="278" t="n"/>
      <c r="SIB74" s="278" t="n"/>
      <c r="SIC74" s="278" t="n"/>
      <c r="SID74" s="278" t="n"/>
      <c r="SIE74" s="278" t="n"/>
      <c r="SIF74" s="278" t="n"/>
      <c r="SIG74" s="278" t="n"/>
      <c r="SIH74" s="278" t="n"/>
      <c r="SII74" s="278" t="n"/>
      <c r="SIJ74" s="278" t="n"/>
      <c r="SIK74" s="278" t="n"/>
      <c r="SIL74" s="278" t="n"/>
      <c r="SIM74" s="278" t="n"/>
      <c r="SIN74" s="278" t="n"/>
      <c r="SIO74" s="278" t="n"/>
      <c r="SIP74" s="278" t="n"/>
      <c r="SIQ74" s="278" t="n"/>
      <c r="SIR74" s="278" t="n"/>
      <c r="SIS74" s="278" t="n"/>
      <c r="SIT74" s="278" t="n"/>
      <c r="SIU74" s="278" t="n"/>
      <c r="SIV74" s="278" t="n"/>
      <c r="SIW74" s="278" t="n"/>
      <c r="SIX74" s="278" t="n"/>
      <c r="SIY74" s="278" t="n"/>
      <c r="SIZ74" s="278" t="n"/>
      <c r="SJA74" s="278" t="n"/>
      <c r="SJB74" s="278" t="n"/>
      <c r="SJC74" s="278" t="n"/>
      <c r="SJD74" s="278" t="n"/>
      <c r="SJE74" s="278" t="n"/>
      <c r="SJF74" s="278" t="n"/>
      <c r="SJG74" s="278" t="n"/>
      <c r="SJH74" s="278" t="n"/>
      <c r="SJI74" s="278" t="n"/>
      <c r="SJJ74" s="278" t="n"/>
      <c r="SJK74" s="278" t="n"/>
      <c r="SJL74" s="278" t="n"/>
      <c r="SJM74" s="278" t="n"/>
      <c r="SJN74" s="278" t="n"/>
      <c r="SJO74" s="278" t="n"/>
      <c r="SJP74" s="278" t="n"/>
      <c r="SJQ74" s="278" t="n"/>
      <c r="SJR74" s="278" t="n"/>
      <c r="SJS74" s="278" t="n"/>
      <c r="SJT74" s="278" t="n"/>
      <c r="SJU74" s="278" t="n"/>
      <c r="SJV74" s="278" t="n"/>
      <c r="SJW74" s="278" t="n"/>
      <c r="SJX74" s="278" t="n"/>
      <c r="SJY74" s="278" t="n"/>
      <c r="SJZ74" s="278" t="n"/>
      <c r="SKA74" s="278" t="n"/>
      <c r="SKB74" s="278" t="n"/>
      <c r="SKC74" s="278" t="n"/>
      <c r="SKD74" s="278" t="n"/>
      <c r="SKE74" s="278" t="n"/>
      <c r="SKF74" s="278" t="n"/>
      <c r="SKG74" s="278" t="n"/>
      <c r="SKH74" s="278" t="n"/>
      <c r="SKI74" s="278" t="n"/>
      <c r="SKJ74" s="278" t="n"/>
      <c r="SKK74" s="278" t="n"/>
      <c r="SKL74" s="278" t="n"/>
      <c r="SKM74" s="278" t="n"/>
      <c r="SKN74" s="278" t="n"/>
      <c r="SKO74" s="278" t="n"/>
      <c r="SKP74" s="278" t="n"/>
      <c r="SKQ74" s="278" t="n"/>
      <c r="SKR74" s="278" t="n"/>
      <c r="SKS74" s="278" t="n"/>
      <c r="SKT74" s="278" t="n"/>
      <c r="SKU74" s="278" t="n"/>
      <c r="SKV74" s="278" t="n"/>
      <c r="SKW74" s="278" t="n"/>
      <c r="SKX74" s="278" t="n"/>
      <c r="SKY74" s="278" t="n"/>
      <c r="SKZ74" s="278" t="n"/>
      <c r="SLA74" s="278" t="n"/>
      <c r="SLB74" s="278" t="n"/>
      <c r="SLC74" s="278" t="n"/>
      <c r="SLD74" s="278" t="n"/>
      <c r="SLE74" s="278" t="n"/>
      <c r="SLF74" s="278" t="n"/>
      <c r="SLG74" s="278" t="n"/>
      <c r="SLH74" s="278" t="n"/>
      <c r="SLI74" s="278" t="n"/>
      <c r="SLJ74" s="278" t="n"/>
      <c r="SLK74" s="278" t="n"/>
      <c r="SLL74" s="278" t="n"/>
      <c r="SLM74" s="278" t="n"/>
      <c r="SLN74" s="278" t="n"/>
      <c r="SLO74" s="278" t="n"/>
      <c r="SLP74" s="278" t="n"/>
      <c r="SLQ74" s="278" t="n"/>
      <c r="SLR74" s="278" t="n"/>
      <c r="SLS74" s="278" t="n"/>
      <c r="SLT74" s="278" t="n"/>
      <c r="SLU74" s="278" t="n"/>
      <c r="SLV74" s="278" t="n"/>
      <c r="SLW74" s="278" t="n"/>
      <c r="SLX74" s="278" t="n"/>
      <c r="SLY74" s="278" t="n"/>
      <c r="SLZ74" s="278" t="n"/>
      <c r="SMA74" s="278" t="n"/>
      <c r="SMB74" s="278" t="n"/>
      <c r="SMC74" s="278" t="n"/>
      <c r="SMD74" s="278" t="n"/>
      <c r="SME74" s="278" t="n"/>
      <c r="SMF74" s="278" t="n"/>
      <c r="SMG74" s="278" t="n"/>
      <c r="SMH74" s="278" t="n"/>
      <c r="SMI74" s="278" t="n"/>
      <c r="SMJ74" s="278" t="n"/>
      <c r="SMK74" s="278" t="n"/>
      <c r="SML74" s="278" t="n"/>
      <c r="SMM74" s="278" t="n"/>
      <c r="SMN74" s="278" t="n"/>
      <c r="SMO74" s="278" t="n"/>
      <c r="SMP74" s="278" t="n"/>
      <c r="SMQ74" s="278" t="n"/>
      <c r="SMR74" s="278" t="n"/>
      <c r="SMS74" s="278" t="n"/>
      <c r="SMT74" s="278" t="n"/>
      <c r="SMU74" s="278" t="n"/>
      <c r="SMV74" s="278" t="n"/>
      <c r="SMW74" s="278" t="n"/>
      <c r="SMX74" s="278" t="n"/>
      <c r="SMY74" s="278" t="n"/>
      <c r="SMZ74" s="278" t="n"/>
      <c r="SNA74" s="278" t="n"/>
      <c r="SNB74" s="278" t="n"/>
      <c r="SNC74" s="278" t="n"/>
      <c r="SND74" s="278" t="n"/>
      <c r="SNE74" s="278" t="n"/>
      <c r="SNF74" s="278" t="n"/>
      <c r="SNG74" s="278" t="n"/>
      <c r="SNH74" s="278" t="n"/>
      <c r="SNI74" s="278" t="n"/>
      <c r="SNJ74" s="278" t="n"/>
      <c r="SNK74" s="278" t="n"/>
      <c r="SNL74" s="278" t="n"/>
      <c r="SNM74" s="278" t="n"/>
      <c r="SNN74" s="278" t="n"/>
      <c r="SNO74" s="278" t="n"/>
      <c r="SNP74" s="278" t="n"/>
      <c r="SNQ74" s="278" t="n"/>
      <c r="SNR74" s="278" t="n"/>
      <c r="SNS74" s="278" t="n"/>
      <c r="SNT74" s="278" t="n"/>
      <c r="SNU74" s="278" t="n"/>
      <c r="SNV74" s="278" t="n"/>
      <c r="SNW74" s="278" t="n"/>
      <c r="SNX74" s="278" t="n"/>
      <c r="SNY74" s="278" t="n"/>
      <c r="SNZ74" s="278" t="n"/>
      <c r="SOA74" s="278" t="n"/>
      <c r="SOB74" s="278" t="n"/>
      <c r="SOC74" s="278" t="n"/>
      <c r="SOD74" s="278" t="n"/>
      <c r="SOE74" s="278" t="n"/>
      <c r="SOF74" s="278" t="n"/>
      <c r="SOG74" s="278" t="n"/>
      <c r="SOH74" s="278" t="n"/>
      <c r="SOI74" s="278" t="n"/>
      <c r="SOJ74" s="278" t="n"/>
      <c r="SOK74" s="278" t="n"/>
      <c r="SOL74" s="278" t="n"/>
      <c r="SOM74" s="278" t="n"/>
      <c r="SON74" s="278" t="n"/>
      <c r="SOO74" s="278" t="n"/>
      <c r="SOP74" s="278" t="n"/>
      <c r="SOQ74" s="278" t="n"/>
      <c r="SOR74" s="278" t="n"/>
      <c r="SOS74" s="278" t="n"/>
      <c r="SOT74" s="278" t="n"/>
      <c r="SOU74" s="278" t="n"/>
      <c r="SOV74" s="278" t="n"/>
      <c r="SOW74" s="278" t="n"/>
      <c r="SOX74" s="278" t="n"/>
      <c r="SOY74" s="278" t="n"/>
      <c r="SOZ74" s="278" t="n"/>
      <c r="SPA74" s="278" t="n"/>
      <c r="SPB74" s="278" t="n"/>
      <c r="SPC74" s="278" t="n"/>
      <c r="SPD74" s="278" t="n"/>
      <c r="SPE74" s="278" t="n"/>
      <c r="SPF74" s="278" t="n"/>
      <c r="SPG74" s="278" t="n"/>
      <c r="SPH74" s="278" t="n"/>
      <c r="SPI74" s="278" t="n"/>
      <c r="SPJ74" s="278" t="n"/>
      <c r="SPK74" s="278" t="n"/>
      <c r="SPL74" s="278" t="n"/>
      <c r="SPM74" s="278" t="n"/>
      <c r="SPN74" s="278" t="n"/>
      <c r="SPO74" s="278" t="n"/>
      <c r="SPP74" s="278" t="n"/>
      <c r="SPQ74" s="278" t="n"/>
      <c r="SPR74" s="278" t="n"/>
      <c r="SPS74" s="278" t="n"/>
      <c r="SPT74" s="278" t="n"/>
      <c r="SPU74" s="278" t="n"/>
      <c r="SPV74" s="278" t="n"/>
      <c r="SPW74" s="278" t="n"/>
      <c r="SPX74" s="278" t="n"/>
      <c r="SPY74" s="278" t="n"/>
      <c r="SPZ74" s="278" t="n"/>
      <c r="SQA74" s="278" t="n"/>
      <c r="SQB74" s="278" t="n"/>
      <c r="SQC74" s="278" t="n"/>
      <c r="SQD74" s="278" t="n"/>
      <c r="SQE74" s="278" t="n"/>
      <c r="SQF74" s="278" t="n"/>
      <c r="SQG74" s="278" t="n"/>
      <c r="SQH74" s="278" t="n"/>
      <c r="SQI74" s="278" t="n"/>
      <c r="SQJ74" s="278" t="n"/>
      <c r="SQK74" s="278" t="n"/>
      <c r="SQL74" s="278" t="n"/>
      <c r="SQM74" s="278" t="n"/>
      <c r="SQN74" s="278" t="n"/>
      <c r="SQO74" s="278" t="n"/>
      <c r="SQP74" s="278" t="n"/>
      <c r="SQQ74" s="278" t="n"/>
      <c r="SQR74" s="278" t="n"/>
      <c r="SQS74" s="278" t="n"/>
      <c r="SQT74" s="278" t="n"/>
      <c r="SQU74" s="278" t="n"/>
      <c r="SQV74" s="278" t="n"/>
      <c r="SQW74" s="278" t="n"/>
      <c r="SQX74" s="278" t="n"/>
      <c r="SQY74" s="278" t="n"/>
      <c r="SQZ74" s="278" t="n"/>
      <c r="SRA74" s="278" t="n"/>
      <c r="SRB74" s="278" t="n"/>
      <c r="SRC74" s="278" t="n"/>
      <c r="SRD74" s="278" t="n"/>
      <c r="SRE74" s="278" t="n"/>
      <c r="SRF74" s="278" t="n"/>
      <c r="SRG74" s="278" t="n"/>
      <c r="SRH74" s="278" t="n"/>
      <c r="SRI74" s="278" t="n"/>
      <c r="SRJ74" s="278" t="n"/>
      <c r="SRK74" s="278" t="n"/>
      <c r="SRL74" s="278" t="n"/>
      <c r="SRM74" s="278" t="n"/>
      <c r="SRN74" s="278" t="n"/>
      <c r="SRO74" s="278" t="n"/>
      <c r="SRP74" s="278" t="n"/>
      <c r="SRQ74" s="278" t="n"/>
      <c r="SRR74" s="278" t="n"/>
      <c r="SRS74" s="278" t="n"/>
      <c r="SRT74" s="278" t="n"/>
      <c r="SRU74" s="278" t="n"/>
      <c r="SRV74" s="278" t="n"/>
      <c r="SRW74" s="278" t="n"/>
      <c r="SRX74" s="278" t="n"/>
      <c r="SRY74" s="278" t="n"/>
      <c r="SRZ74" s="278" t="n"/>
      <c r="SSA74" s="278" t="n"/>
      <c r="SSB74" s="278" t="n"/>
      <c r="SSC74" s="278" t="n"/>
      <c r="SSD74" s="278" t="n"/>
      <c r="SSE74" s="278" t="n"/>
      <c r="SSF74" s="278" t="n"/>
      <c r="SSG74" s="278" t="n"/>
      <c r="SSH74" s="278" t="n"/>
      <c r="SSI74" s="278" t="n"/>
      <c r="SSJ74" s="278" t="n"/>
      <c r="SSK74" s="278" t="n"/>
      <c r="SSL74" s="278" t="n"/>
      <c r="SSM74" s="278" t="n"/>
      <c r="SSN74" s="278" t="n"/>
      <c r="SSO74" s="278" t="n"/>
      <c r="SSP74" s="278" t="n"/>
      <c r="SSQ74" s="278" t="n"/>
      <c r="SSR74" s="278" t="n"/>
      <c r="SSS74" s="278" t="n"/>
      <c r="SST74" s="278" t="n"/>
      <c r="SSU74" s="278" t="n"/>
      <c r="SSV74" s="278" t="n"/>
      <c r="SSW74" s="278" t="n"/>
      <c r="SSX74" s="278" t="n"/>
      <c r="SSY74" s="278" t="n"/>
      <c r="SSZ74" s="278" t="n"/>
      <c r="STA74" s="278" t="n"/>
      <c r="STB74" s="278" t="n"/>
      <c r="STC74" s="278" t="n"/>
      <c r="STD74" s="278" t="n"/>
      <c r="STE74" s="278" t="n"/>
      <c r="STF74" s="278" t="n"/>
      <c r="STG74" s="278" t="n"/>
      <c r="STH74" s="278" t="n"/>
      <c r="STI74" s="278" t="n"/>
      <c r="STJ74" s="278" t="n"/>
      <c r="STK74" s="278" t="n"/>
      <c r="STL74" s="278" t="n"/>
      <c r="STM74" s="278" t="n"/>
      <c r="STN74" s="278" t="n"/>
      <c r="STO74" s="278" t="n"/>
      <c r="STP74" s="278" t="n"/>
      <c r="STQ74" s="278" t="n"/>
      <c r="STR74" s="278" t="n"/>
      <c r="STS74" s="278" t="n"/>
      <c r="STT74" s="278" t="n"/>
      <c r="STU74" s="278" t="n"/>
      <c r="STV74" s="278" t="n"/>
      <c r="STW74" s="278" t="n"/>
      <c r="STX74" s="278" t="n"/>
      <c r="STY74" s="278" t="n"/>
      <c r="STZ74" s="278" t="n"/>
      <c r="SUA74" s="278" t="n"/>
      <c r="SUB74" s="278" t="n"/>
      <c r="SUC74" s="278" t="n"/>
      <c r="SUD74" s="278" t="n"/>
      <c r="SUE74" s="278" t="n"/>
      <c r="SUF74" s="278" t="n"/>
      <c r="SUG74" s="278" t="n"/>
      <c r="SUH74" s="278" t="n"/>
      <c r="SUI74" s="278" t="n"/>
      <c r="SUJ74" s="278" t="n"/>
      <c r="SUK74" s="278" t="n"/>
      <c r="SUL74" s="278" t="n"/>
      <c r="SUM74" s="278" t="n"/>
      <c r="SUN74" s="278" t="n"/>
      <c r="SUO74" s="278" t="n"/>
      <c r="SUP74" s="278" t="n"/>
      <c r="SUQ74" s="278" t="n"/>
      <c r="SUR74" s="278" t="n"/>
      <c r="SUS74" s="278" t="n"/>
      <c r="SUT74" s="278" t="n"/>
      <c r="SUU74" s="278" t="n"/>
      <c r="SUV74" s="278" t="n"/>
      <c r="SUW74" s="278" t="n"/>
      <c r="SUX74" s="278" t="n"/>
      <c r="SUY74" s="278" t="n"/>
      <c r="SUZ74" s="278" t="n"/>
      <c r="SVA74" s="278" t="n"/>
      <c r="SVB74" s="278" t="n"/>
      <c r="SVC74" s="278" t="n"/>
      <c r="SVD74" s="278" t="n"/>
      <c r="SVE74" s="278" t="n"/>
      <c r="SVF74" s="278" t="n"/>
      <c r="SVG74" s="278" t="n"/>
      <c r="SVH74" s="278" t="n"/>
      <c r="SVI74" s="278" t="n"/>
      <c r="SVJ74" s="278" t="n"/>
      <c r="SVK74" s="278" t="n"/>
      <c r="SVL74" s="278" t="n"/>
      <c r="SVM74" s="278" t="n"/>
      <c r="SVN74" s="278" t="n"/>
      <c r="SVO74" s="278" t="n"/>
      <c r="SVP74" s="278" t="n"/>
      <c r="SVQ74" s="278" t="n"/>
      <c r="SVR74" s="278" t="n"/>
      <c r="SVS74" s="278" t="n"/>
      <c r="SVT74" s="278" t="n"/>
      <c r="SVU74" s="278" t="n"/>
      <c r="SVV74" s="278" t="n"/>
      <c r="SVW74" s="278" t="n"/>
      <c r="SVX74" s="278" t="n"/>
      <c r="SVY74" s="278" t="n"/>
      <c r="SVZ74" s="278" t="n"/>
      <c r="SWA74" s="278" t="n"/>
      <c r="SWB74" s="278" t="n"/>
      <c r="SWC74" s="278" t="n"/>
      <c r="SWD74" s="278" t="n"/>
      <c r="SWE74" s="278" t="n"/>
      <c r="SWF74" s="278" t="n"/>
      <c r="SWG74" s="278" t="n"/>
      <c r="SWH74" s="278" t="n"/>
      <c r="SWI74" s="278" t="n"/>
      <c r="SWJ74" s="278" t="n"/>
      <c r="SWK74" s="278" t="n"/>
      <c r="SWL74" s="278" t="n"/>
      <c r="SWM74" s="278" t="n"/>
      <c r="SWN74" s="278" t="n"/>
      <c r="SWO74" s="278" t="n"/>
      <c r="SWP74" s="278" t="n"/>
      <c r="SWQ74" s="278" t="n"/>
      <c r="SWR74" s="278" t="n"/>
      <c r="SWS74" s="278" t="n"/>
      <c r="SWT74" s="278" t="n"/>
      <c r="SWU74" s="278" t="n"/>
      <c r="SWV74" s="278" t="n"/>
      <c r="SWW74" s="278" t="n"/>
      <c r="SWX74" s="278" t="n"/>
      <c r="SWY74" s="278" t="n"/>
      <c r="SWZ74" s="278" t="n"/>
      <c r="SXA74" s="278" t="n"/>
      <c r="SXB74" s="278" t="n"/>
      <c r="SXC74" s="278" t="n"/>
      <c r="SXD74" s="278" t="n"/>
      <c r="SXE74" s="278" t="n"/>
      <c r="SXF74" s="278" t="n"/>
      <c r="SXG74" s="278" t="n"/>
      <c r="SXH74" s="278" t="n"/>
      <c r="SXI74" s="278" t="n"/>
      <c r="SXJ74" s="278" t="n"/>
      <c r="SXK74" s="278" t="n"/>
      <c r="SXL74" s="278" t="n"/>
      <c r="SXM74" s="278" t="n"/>
      <c r="SXN74" s="278" t="n"/>
      <c r="SXO74" s="278" t="n"/>
      <c r="SXP74" s="278" t="n"/>
      <c r="SXQ74" s="278" t="n"/>
      <c r="SXR74" s="278" t="n"/>
      <c r="SXS74" s="278" t="n"/>
      <c r="SXT74" s="278" t="n"/>
      <c r="SXU74" s="278" t="n"/>
      <c r="SXV74" s="278" t="n"/>
      <c r="SXW74" s="278" t="n"/>
      <c r="SXX74" s="278" t="n"/>
      <c r="SXY74" s="278" t="n"/>
      <c r="SXZ74" s="278" t="n"/>
      <c r="SYA74" s="278" t="n"/>
      <c r="SYB74" s="278" t="n"/>
      <c r="SYC74" s="278" t="n"/>
      <c r="SYD74" s="278" t="n"/>
      <c r="SYE74" s="278" t="n"/>
      <c r="SYF74" s="278" t="n"/>
      <c r="SYG74" s="278" t="n"/>
      <c r="SYH74" s="278" t="n"/>
      <c r="SYI74" s="278" t="n"/>
      <c r="SYJ74" s="278" t="n"/>
      <c r="SYK74" s="278" t="n"/>
      <c r="SYL74" s="278" t="n"/>
      <c r="SYM74" s="278" t="n"/>
      <c r="SYN74" s="278" t="n"/>
      <c r="SYO74" s="278" t="n"/>
      <c r="SYP74" s="278" t="n"/>
      <c r="SYQ74" s="278" t="n"/>
      <c r="SYR74" s="278" t="n"/>
      <c r="SYS74" s="278" t="n"/>
      <c r="SYT74" s="278" t="n"/>
      <c r="SYU74" s="278" t="n"/>
      <c r="SYV74" s="278" t="n"/>
      <c r="SYW74" s="278" t="n"/>
      <c r="SYX74" s="278" t="n"/>
      <c r="SYY74" s="278" t="n"/>
      <c r="SYZ74" s="278" t="n"/>
      <c r="SZA74" s="278" t="n"/>
      <c r="SZB74" s="278" t="n"/>
      <c r="SZC74" s="278" t="n"/>
      <c r="SZD74" s="278" t="n"/>
      <c r="SZE74" s="278" t="n"/>
      <c r="SZF74" s="278" t="n"/>
      <c r="SZG74" s="278" t="n"/>
      <c r="SZH74" s="278" t="n"/>
      <c r="SZI74" s="278" t="n"/>
      <c r="SZJ74" s="278" t="n"/>
      <c r="SZK74" s="278" t="n"/>
      <c r="SZL74" s="278" t="n"/>
      <c r="SZM74" s="278" t="n"/>
      <c r="SZN74" s="278" t="n"/>
      <c r="SZO74" s="278" t="n"/>
      <c r="SZP74" s="278" t="n"/>
      <c r="SZQ74" s="278" t="n"/>
      <c r="SZR74" s="278" t="n"/>
      <c r="SZS74" s="278" t="n"/>
      <c r="SZT74" s="278" t="n"/>
      <c r="SZU74" s="278" t="n"/>
      <c r="SZV74" s="278" t="n"/>
      <c r="SZW74" s="278" t="n"/>
      <c r="SZX74" s="278" t="n"/>
      <c r="SZY74" s="278" t="n"/>
      <c r="SZZ74" s="278" t="n"/>
      <c r="TAA74" s="278" t="n"/>
      <c r="TAB74" s="278" t="n"/>
      <c r="TAC74" s="278" t="n"/>
      <c r="TAD74" s="278" t="n"/>
      <c r="TAE74" s="278" t="n"/>
      <c r="TAF74" s="278" t="n"/>
      <c r="TAG74" s="278" t="n"/>
      <c r="TAH74" s="278" t="n"/>
      <c r="TAI74" s="278" t="n"/>
      <c r="TAJ74" s="278" t="n"/>
      <c r="TAK74" s="278" t="n"/>
      <c r="TAL74" s="278" t="n"/>
      <c r="TAM74" s="278" t="n"/>
      <c r="TAN74" s="278" t="n"/>
      <c r="TAO74" s="278" t="n"/>
      <c r="TAP74" s="278" t="n"/>
      <c r="TAQ74" s="278" t="n"/>
      <c r="TAR74" s="278" t="n"/>
      <c r="TAS74" s="278" t="n"/>
      <c r="TAT74" s="278" t="n"/>
      <c r="TAU74" s="278" t="n"/>
      <c r="TAV74" s="278" t="n"/>
      <c r="TAW74" s="278" t="n"/>
      <c r="TAX74" s="278" t="n"/>
      <c r="TAY74" s="278" t="n"/>
      <c r="TAZ74" s="278" t="n"/>
      <c r="TBA74" s="278" t="n"/>
      <c r="TBB74" s="278" t="n"/>
      <c r="TBC74" s="278" t="n"/>
      <c r="TBD74" s="278" t="n"/>
      <c r="TBE74" s="278" t="n"/>
      <c r="TBF74" s="278" t="n"/>
      <c r="TBG74" s="278" t="n"/>
      <c r="TBH74" s="278" t="n"/>
      <c r="TBI74" s="278" t="n"/>
      <c r="TBJ74" s="278" t="n"/>
      <c r="TBK74" s="278" t="n"/>
      <c r="TBL74" s="278" t="n"/>
      <c r="TBM74" s="278" t="n"/>
      <c r="TBN74" s="278" t="n"/>
      <c r="TBO74" s="278" t="n"/>
      <c r="TBP74" s="278" t="n"/>
      <c r="TBQ74" s="278" t="n"/>
      <c r="TBR74" s="278" t="n"/>
      <c r="TBS74" s="278" t="n"/>
      <c r="TBT74" s="278" t="n"/>
      <c r="TBU74" s="278" t="n"/>
      <c r="TBV74" s="278" t="n"/>
      <c r="TBW74" s="278" t="n"/>
      <c r="TBX74" s="278" t="n"/>
      <c r="TBY74" s="278" t="n"/>
      <c r="TBZ74" s="278" t="n"/>
      <c r="TCA74" s="278" t="n"/>
      <c r="TCB74" s="278" t="n"/>
      <c r="TCC74" s="278" t="n"/>
      <c r="TCD74" s="278" t="n"/>
      <c r="TCE74" s="278" t="n"/>
      <c r="TCF74" s="278" t="n"/>
      <c r="TCG74" s="278" t="n"/>
      <c r="TCH74" s="278" t="n"/>
      <c r="TCI74" s="278" t="n"/>
      <c r="TCJ74" s="278" t="n"/>
      <c r="TCK74" s="278" t="n"/>
      <c r="TCL74" s="278" t="n"/>
      <c r="TCM74" s="278" t="n"/>
      <c r="TCN74" s="278" t="n"/>
      <c r="TCO74" s="278" t="n"/>
      <c r="TCP74" s="278" t="n"/>
      <c r="TCQ74" s="278" t="n"/>
      <c r="TCR74" s="278" t="n"/>
      <c r="TCS74" s="278" t="n"/>
      <c r="TCT74" s="278" t="n"/>
      <c r="TCU74" s="278" t="n"/>
      <c r="TCV74" s="278" t="n"/>
      <c r="TCW74" s="278" t="n"/>
      <c r="TCX74" s="278" t="n"/>
      <c r="TCY74" s="278" t="n"/>
      <c r="TCZ74" s="278" t="n"/>
      <c r="TDA74" s="278" t="n"/>
      <c r="TDB74" s="278" t="n"/>
      <c r="TDC74" s="278" t="n"/>
      <c r="TDD74" s="278" t="n"/>
      <c r="TDE74" s="278" t="n"/>
      <c r="TDF74" s="278" t="n"/>
      <c r="TDG74" s="278" t="n"/>
      <c r="TDH74" s="278" t="n"/>
      <c r="TDI74" s="278" t="n"/>
      <c r="TDJ74" s="278" t="n"/>
      <c r="TDK74" s="278" t="n"/>
      <c r="TDL74" s="278" t="n"/>
      <c r="TDM74" s="278" t="n"/>
      <c r="TDN74" s="278" t="n"/>
      <c r="TDO74" s="278" t="n"/>
      <c r="TDP74" s="278" t="n"/>
      <c r="TDQ74" s="278" t="n"/>
      <c r="TDR74" s="278" t="n"/>
      <c r="TDS74" s="278" t="n"/>
      <c r="TDT74" s="278" t="n"/>
      <c r="TDU74" s="278" t="n"/>
      <c r="TDV74" s="278" t="n"/>
      <c r="TDW74" s="278" t="n"/>
      <c r="TDX74" s="278" t="n"/>
      <c r="TDY74" s="278" t="n"/>
      <c r="TDZ74" s="278" t="n"/>
      <c r="TEA74" s="278" t="n"/>
      <c r="TEB74" s="278" t="n"/>
      <c r="TEC74" s="278" t="n"/>
      <c r="TED74" s="278" t="n"/>
      <c r="TEE74" s="278" t="n"/>
      <c r="TEF74" s="278" t="n"/>
      <c r="TEG74" s="278" t="n"/>
      <c r="TEH74" s="278" t="n"/>
      <c r="TEI74" s="278" t="n"/>
      <c r="TEJ74" s="278" t="n"/>
      <c r="TEK74" s="278" t="n"/>
      <c r="TEL74" s="278" t="n"/>
      <c r="TEM74" s="278" t="n"/>
      <c r="TEN74" s="278" t="n"/>
      <c r="TEO74" s="278" t="n"/>
      <c r="TEP74" s="278" t="n"/>
      <c r="TEQ74" s="278" t="n"/>
      <c r="TER74" s="278" t="n"/>
      <c r="TES74" s="278" t="n"/>
      <c r="TET74" s="278" t="n"/>
      <c r="TEU74" s="278" t="n"/>
      <c r="TEV74" s="278" t="n"/>
      <c r="TEW74" s="278" t="n"/>
      <c r="TEX74" s="278" t="n"/>
      <c r="TEY74" s="278" t="n"/>
      <c r="TEZ74" s="278" t="n"/>
      <c r="TFA74" s="278" t="n"/>
      <c r="TFB74" s="278" t="n"/>
      <c r="TFC74" s="278" t="n"/>
      <c r="TFD74" s="278" t="n"/>
      <c r="TFE74" s="278" t="n"/>
      <c r="TFF74" s="278" t="n"/>
      <c r="TFG74" s="278" t="n"/>
      <c r="TFH74" s="278" t="n"/>
      <c r="TFI74" s="278" t="n"/>
      <c r="TFJ74" s="278" t="n"/>
      <c r="TFK74" s="278" t="n"/>
      <c r="TFL74" s="278" t="n"/>
      <c r="TFM74" s="278" t="n"/>
      <c r="TFN74" s="278" t="n"/>
      <c r="TFO74" s="278" t="n"/>
      <c r="TFP74" s="278" t="n"/>
      <c r="TFQ74" s="278" t="n"/>
      <c r="TFR74" s="278" t="n"/>
      <c r="TFS74" s="278" t="n"/>
      <c r="TFT74" s="278" t="n"/>
      <c r="TFU74" s="278" t="n"/>
      <c r="TFV74" s="278" t="n"/>
      <c r="TFW74" s="278" t="n"/>
      <c r="TFX74" s="278" t="n"/>
      <c r="TFY74" s="278" t="n"/>
      <c r="TFZ74" s="278" t="n"/>
      <c r="TGA74" s="278" t="n"/>
      <c r="TGB74" s="278" t="n"/>
      <c r="TGC74" s="278" t="n"/>
      <c r="TGD74" s="278" t="n"/>
      <c r="TGE74" s="278" t="n"/>
      <c r="TGF74" s="278" t="n"/>
      <c r="TGG74" s="278" t="n"/>
      <c r="TGH74" s="278" t="n"/>
      <c r="TGI74" s="278" t="n"/>
      <c r="TGJ74" s="278" t="n"/>
      <c r="TGK74" s="278" t="n"/>
      <c r="TGL74" s="278" t="n"/>
      <c r="TGM74" s="278" t="n"/>
      <c r="TGN74" s="278" t="n"/>
      <c r="TGO74" s="278" t="n"/>
      <c r="TGP74" s="278" t="n"/>
      <c r="TGQ74" s="278" t="n"/>
      <c r="TGR74" s="278" t="n"/>
      <c r="TGS74" s="278" t="n"/>
      <c r="TGT74" s="278" t="n"/>
      <c r="TGU74" s="278" t="n"/>
      <c r="TGV74" s="278" t="n"/>
      <c r="TGW74" s="278" t="n"/>
      <c r="TGX74" s="278" t="n"/>
      <c r="TGY74" s="278" t="n"/>
      <c r="TGZ74" s="278" t="n"/>
      <c r="THA74" s="278" t="n"/>
      <c r="THB74" s="278" t="n"/>
      <c r="THC74" s="278" t="n"/>
      <c r="THD74" s="278" t="n"/>
      <c r="THE74" s="278" t="n"/>
      <c r="THF74" s="278" t="n"/>
      <c r="THG74" s="278" t="n"/>
      <c r="THH74" s="278" t="n"/>
      <c r="THI74" s="278" t="n"/>
      <c r="THJ74" s="278" t="n"/>
      <c r="THK74" s="278" t="n"/>
      <c r="THL74" s="278" t="n"/>
      <c r="THM74" s="278" t="n"/>
      <c r="THN74" s="278" t="n"/>
      <c r="THO74" s="278" t="n"/>
      <c r="THP74" s="278" t="n"/>
      <c r="THQ74" s="278" t="n"/>
      <c r="THR74" s="278" t="n"/>
      <c r="THS74" s="278" t="n"/>
      <c r="THT74" s="278" t="n"/>
      <c r="THU74" s="278" t="n"/>
      <c r="THV74" s="278" t="n"/>
      <c r="THW74" s="278" t="n"/>
      <c r="THX74" s="278" t="n"/>
      <c r="THY74" s="278" t="n"/>
      <c r="THZ74" s="278" t="n"/>
      <c r="TIA74" s="278" t="n"/>
      <c r="TIB74" s="278" t="n"/>
      <c r="TIC74" s="278" t="n"/>
      <c r="TID74" s="278" t="n"/>
      <c r="TIE74" s="278" t="n"/>
      <c r="TIF74" s="278" t="n"/>
      <c r="TIG74" s="278" t="n"/>
      <c r="TIH74" s="278" t="n"/>
      <c r="TII74" s="278" t="n"/>
      <c r="TIJ74" s="278" t="n"/>
      <c r="TIK74" s="278" t="n"/>
      <c r="TIL74" s="278" t="n"/>
      <c r="TIM74" s="278" t="n"/>
      <c r="TIN74" s="278" t="n"/>
      <c r="TIO74" s="278" t="n"/>
      <c r="TIP74" s="278" t="n"/>
      <c r="TIQ74" s="278" t="n"/>
      <c r="TIR74" s="278" t="n"/>
      <c r="TIS74" s="278" t="n"/>
      <c r="TIT74" s="278" t="n"/>
      <c r="TIU74" s="278" t="n"/>
      <c r="TIV74" s="278" t="n"/>
      <c r="TIW74" s="278" t="n"/>
      <c r="TIX74" s="278" t="n"/>
      <c r="TIY74" s="278" t="n"/>
      <c r="TIZ74" s="278" t="n"/>
      <c r="TJA74" s="278" t="n"/>
      <c r="TJB74" s="278" t="n"/>
      <c r="TJC74" s="278" t="n"/>
      <c r="TJD74" s="278" t="n"/>
      <c r="TJE74" s="278" t="n"/>
      <c r="TJF74" s="278" t="n"/>
      <c r="TJG74" s="278" t="n"/>
      <c r="TJH74" s="278" t="n"/>
      <c r="TJI74" s="278" t="n"/>
      <c r="TJJ74" s="278" t="n"/>
      <c r="TJK74" s="278" t="n"/>
      <c r="TJL74" s="278" t="n"/>
      <c r="TJM74" s="278" t="n"/>
      <c r="TJN74" s="278" t="n"/>
      <c r="TJO74" s="278" t="n"/>
      <c r="TJP74" s="278" t="n"/>
      <c r="TJQ74" s="278" t="n"/>
      <c r="TJR74" s="278" t="n"/>
      <c r="TJS74" s="278" t="n"/>
      <c r="TJT74" s="278" t="n"/>
      <c r="TJU74" s="278" t="n"/>
      <c r="TJV74" s="278" t="n"/>
      <c r="TJW74" s="278" t="n"/>
      <c r="TJX74" s="278" t="n"/>
      <c r="TJY74" s="278" t="n"/>
      <c r="TJZ74" s="278" t="n"/>
      <c r="TKA74" s="278" t="n"/>
      <c r="TKB74" s="278" t="n"/>
      <c r="TKC74" s="278" t="n"/>
      <c r="TKD74" s="278" t="n"/>
      <c r="TKE74" s="278" t="n"/>
      <c r="TKF74" s="278" t="n"/>
      <c r="TKG74" s="278" t="n"/>
      <c r="TKH74" s="278" t="n"/>
      <c r="TKI74" s="278" t="n"/>
      <c r="TKJ74" s="278" t="n"/>
      <c r="TKK74" s="278" t="n"/>
      <c r="TKL74" s="278" t="n"/>
      <c r="TKM74" s="278" t="n"/>
      <c r="TKN74" s="278" t="n"/>
      <c r="TKO74" s="278" t="n"/>
      <c r="TKP74" s="278" t="n"/>
      <c r="TKQ74" s="278" t="n"/>
      <c r="TKR74" s="278" t="n"/>
      <c r="TKS74" s="278" t="n"/>
      <c r="TKT74" s="278" t="n"/>
      <c r="TKU74" s="278" t="n"/>
      <c r="TKV74" s="278" t="n"/>
      <c r="TKW74" s="278" t="n"/>
      <c r="TKX74" s="278" t="n"/>
      <c r="TKY74" s="278" t="n"/>
      <c r="TKZ74" s="278" t="n"/>
      <c r="TLA74" s="278" t="n"/>
      <c r="TLB74" s="278" t="n"/>
      <c r="TLC74" s="278" t="n"/>
      <c r="TLD74" s="278" t="n"/>
      <c r="TLE74" s="278" t="n"/>
      <c r="TLF74" s="278" t="n"/>
      <c r="TLG74" s="278" t="n"/>
      <c r="TLH74" s="278" t="n"/>
      <c r="TLI74" s="278" t="n"/>
      <c r="TLJ74" s="278" t="n"/>
      <c r="TLK74" s="278" t="n"/>
      <c r="TLL74" s="278" t="n"/>
      <c r="TLM74" s="278" t="n"/>
      <c r="TLN74" s="278" t="n"/>
      <c r="TLO74" s="278" t="n"/>
      <c r="TLP74" s="278" t="n"/>
      <c r="TLQ74" s="278" t="n"/>
      <c r="TLR74" s="278" t="n"/>
      <c r="TLS74" s="278" t="n"/>
      <c r="TLT74" s="278" t="n"/>
      <c r="TLU74" s="278" t="n"/>
      <c r="TLV74" s="278" t="n"/>
      <c r="TLW74" s="278" t="n"/>
      <c r="TLX74" s="278" t="n"/>
      <c r="TLY74" s="278" t="n"/>
      <c r="TLZ74" s="278" t="n"/>
      <c r="TMA74" s="278" t="n"/>
      <c r="TMB74" s="278" t="n"/>
      <c r="TMC74" s="278" t="n"/>
      <c r="TMD74" s="278" t="n"/>
      <c r="TME74" s="278" t="n"/>
      <c r="TMF74" s="278" t="n"/>
      <c r="TMG74" s="278" t="n"/>
      <c r="TMH74" s="278" t="n"/>
      <c r="TMI74" s="278" t="n"/>
      <c r="TMJ74" s="278" t="n"/>
      <c r="TMK74" s="278" t="n"/>
      <c r="TML74" s="278" t="n"/>
      <c r="TMM74" s="278" t="n"/>
      <c r="TMN74" s="278" t="n"/>
      <c r="TMO74" s="278" t="n"/>
      <c r="TMP74" s="278" t="n"/>
      <c r="TMQ74" s="278" t="n"/>
      <c r="TMR74" s="278" t="n"/>
      <c r="TMS74" s="278" t="n"/>
      <c r="TMT74" s="278" t="n"/>
      <c r="TMU74" s="278" t="n"/>
      <c r="TMV74" s="278" t="n"/>
      <c r="TMW74" s="278" t="n"/>
      <c r="TMX74" s="278" t="n"/>
      <c r="TMY74" s="278" t="n"/>
      <c r="TMZ74" s="278" t="n"/>
      <c r="TNA74" s="278" t="n"/>
      <c r="TNB74" s="278" t="n"/>
      <c r="TNC74" s="278" t="n"/>
      <c r="TND74" s="278" t="n"/>
      <c r="TNE74" s="278" t="n"/>
      <c r="TNF74" s="278" t="n"/>
      <c r="TNG74" s="278" t="n"/>
      <c r="TNH74" s="278" t="n"/>
      <c r="TNI74" s="278" t="n"/>
      <c r="TNJ74" s="278" t="n"/>
      <c r="TNK74" s="278" t="n"/>
      <c r="TNL74" s="278" t="n"/>
      <c r="TNM74" s="278" t="n"/>
      <c r="TNN74" s="278" t="n"/>
      <c r="TNO74" s="278" t="n"/>
      <c r="TNP74" s="278" t="n"/>
      <c r="TNQ74" s="278" t="n"/>
      <c r="TNR74" s="278" t="n"/>
      <c r="TNS74" s="278" t="n"/>
      <c r="TNT74" s="278" t="n"/>
      <c r="TNU74" s="278" t="n"/>
      <c r="TNV74" s="278" t="n"/>
      <c r="TNW74" s="278" t="n"/>
      <c r="TNX74" s="278" t="n"/>
      <c r="TNY74" s="278" t="n"/>
      <c r="TNZ74" s="278" t="n"/>
      <c r="TOA74" s="278" t="n"/>
      <c r="TOB74" s="278" t="n"/>
      <c r="TOC74" s="278" t="n"/>
      <c r="TOD74" s="278" t="n"/>
      <c r="TOE74" s="278" t="n"/>
      <c r="TOF74" s="278" t="n"/>
      <c r="TOG74" s="278" t="n"/>
      <c r="TOH74" s="278" t="n"/>
      <c r="TOI74" s="278" t="n"/>
      <c r="TOJ74" s="278" t="n"/>
      <c r="TOK74" s="278" t="n"/>
      <c r="TOL74" s="278" t="n"/>
      <c r="TOM74" s="278" t="n"/>
      <c r="TON74" s="278" t="n"/>
      <c r="TOO74" s="278" t="n"/>
      <c r="TOP74" s="278" t="n"/>
      <c r="TOQ74" s="278" t="n"/>
      <c r="TOR74" s="278" t="n"/>
      <c r="TOS74" s="278" t="n"/>
      <c r="TOT74" s="278" t="n"/>
      <c r="TOU74" s="278" t="n"/>
      <c r="TOV74" s="278" t="n"/>
      <c r="TOW74" s="278" t="n"/>
      <c r="TOX74" s="278" t="n"/>
      <c r="TOY74" s="278" t="n"/>
      <c r="TOZ74" s="278" t="n"/>
      <c r="TPA74" s="278" t="n"/>
      <c r="TPB74" s="278" t="n"/>
      <c r="TPC74" s="278" t="n"/>
      <c r="TPD74" s="278" t="n"/>
      <c r="TPE74" s="278" t="n"/>
      <c r="TPF74" s="278" t="n"/>
      <c r="TPG74" s="278" t="n"/>
      <c r="TPH74" s="278" t="n"/>
      <c r="TPI74" s="278" t="n"/>
      <c r="TPJ74" s="278" t="n"/>
      <c r="TPK74" s="278" t="n"/>
      <c r="TPL74" s="278" t="n"/>
      <c r="TPM74" s="278" t="n"/>
      <c r="TPN74" s="278" t="n"/>
      <c r="TPO74" s="278" t="n"/>
      <c r="TPP74" s="278" t="n"/>
      <c r="TPQ74" s="278" t="n"/>
      <c r="TPR74" s="278" t="n"/>
      <c r="TPS74" s="278" t="n"/>
      <c r="TPT74" s="278" t="n"/>
      <c r="TPU74" s="278" t="n"/>
      <c r="TPV74" s="278" t="n"/>
      <c r="TPW74" s="278" t="n"/>
      <c r="TPX74" s="278" t="n"/>
      <c r="TPY74" s="278" t="n"/>
      <c r="TPZ74" s="278" t="n"/>
      <c r="TQA74" s="278" t="n"/>
      <c r="TQB74" s="278" t="n"/>
      <c r="TQC74" s="278" t="n"/>
      <c r="TQD74" s="278" t="n"/>
      <c r="TQE74" s="278" t="n"/>
      <c r="TQF74" s="278" t="n"/>
      <c r="TQG74" s="278" t="n"/>
      <c r="TQH74" s="278" t="n"/>
      <c r="TQI74" s="278" t="n"/>
      <c r="TQJ74" s="278" t="n"/>
      <c r="TQK74" s="278" t="n"/>
      <c r="TQL74" s="278" t="n"/>
      <c r="TQM74" s="278" t="n"/>
      <c r="TQN74" s="278" t="n"/>
      <c r="TQO74" s="278" t="n"/>
      <c r="TQP74" s="278" t="n"/>
      <c r="TQQ74" s="278" t="n"/>
      <c r="TQR74" s="278" t="n"/>
      <c r="TQS74" s="278" t="n"/>
      <c r="TQT74" s="278" t="n"/>
      <c r="TQU74" s="278" t="n"/>
      <c r="TQV74" s="278" t="n"/>
      <c r="TQW74" s="278" t="n"/>
      <c r="TQX74" s="278" t="n"/>
      <c r="TQY74" s="278" t="n"/>
      <c r="TQZ74" s="278" t="n"/>
      <c r="TRA74" s="278" t="n"/>
      <c r="TRB74" s="278" t="n"/>
      <c r="TRC74" s="278" t="n"/>
      <c r="TRD74" s="278" t="n"/>
      <c r="TRE74" s="278" t="n"/>
      <c r="TRF74" s="278" t="n"/>
      <c r="TRG74" s="278" t="n"/>
      <c r="TRH74" s="278" t="n"/>
      <c r="TRI74" s="278" t="n"/>
      <c r="TRJ74" s="278" t="n"/>
      <c r="TRK74" s="278" t="n"/>
      <c r="TRL74" s="278" t="n"/>
      <c r="TRM74" s="278" t="n"/>
      <c r="TRN74" s="278" t="n"/>
      <c r="TRO74" s="278" t="n"/>
      <c r="TRP74" s="278" t="n"/>
      <c r="TRQ74" s="278" t="n"/>
      <c r="TRR74" s="278" t="n"/>
      <c r="TRS74" s="278" t="n"/>
      <c r="TRT74" s="278" t="n"/>
      <c r="TRU74" s="278" t="n"/>
      <c r="TRV74" s="278" t="n"/>
      <c r="TRW74" s="278" t="n"/>
      <c r="TRX74" s="278" t="n"/>
      <c r="TRY74" s="278" t="n"/>
      <c r="TRZ74" s="278" t="n"/>
      <c r="TSA74" s="278" t="n"/>
      <c r="TSB74" s="278" t="n"/>
      <c r="TSC74" s="278" t="n"/>
      <c r="TSD74" s="278" t="n"/>
      <c r="TSE74" s="278" t="n"/>
      <c r="TSF74" s="278" t="n"/>
      <c r="TSG74" s="278" t="n"/>
      <c r="TSH74" s="278" t="n"/>
      <c r="TSI74" s="278" t="n"/>
      <c r="TSJ74" s="278" t="n"/>
      <c r="TSK74" s="278" t="n"/>
      <c r="TSL74" s="278" t="n"/>
      <c r="TSM74" s="278" t="n"/>
      <c r="TSN74" s="278" t="n"/>
      <c r="TSO74" s="278" t="n"/>
      <c r="TSP74" s="278" t="n"/>
      <c r="TSQ74" s="278" t="n"/>
      <c r="TSR74" s="278" t="n"/>
      <c r="TSS74" s="278" t="n"/>
      <c r="TST74" s="278" t="n"/>
      <c r="TSU74" s="278" t="n"/>
      <c r="TSV74" s="278" t="n"/>
      <c r="TSW74" s="278" t="n"/>
      <c r="TSX74" s="278" t="n"/>
      <c r="TSY74" s="278" t="n"/>
      <c r="TSZ74" s="278" t="n"/>
      <c r="TTA74" s="278" t="n"/>
      <c r="TTB74" s="278" t="n"/>
      <c r="TTC74" s="278" t="n"/>
      <c r="TTD74" s="278" t="n"/>
      <c r="TTE74" s="278" t="n"/>
      <c r="TTF74" s="278" t="n"/>
      <c r="TTG74" s="278" t="n"/>
      <c r="TTH74" s="278" t="n"/>
      <c r="TTI74" s="278" t="n"/>
      <c r="TTJ74" s="278" t="n"/>
      <c r="TTK74" s="278" t="n"/>
      <c r="TTL74" s="278" t="n"/>
      <c r="TTM74" s="278" t="n"/>
      <c r="TTN74" s="278" t="n"/>
      <c r="TTO74" s="278" t="n"/>
      <c r="TTP74" s="278" t="n"/>
      <c r="TTQ74" s="278" t="n"/>
      <c r="TTR74" s="278" t="n"/>
      <c r="TTS74" s="278" t="n"/>
      <c r="TTT74" s="278" t="n"/>
      <c r="TTU74" s="278" t="n"/>
      <c r="TTV74" s="278" t="n"/>
      <c r="TTW74" s="278" t="n"/>
      <c r="TTX74" s="278" t="n"/>
      <c r="TTY74" s="278" t="n"/>
      <c r="TTZ74" s="278" t="n"/>
      <c r="TUA74" s="278" t="n"/>
      <c r="TUB74" s="278" t="n"/>
      <c r="TUC74" s="278" t="n"/>
      <c r="TUD74" s="278" t="n"/>
      <c r="TUE74" s="278" t="n"/>
      <c r="TUF74" s="278" t="n"/>
      <c r="TUG74" s="278" t="n"/>
      <c r="TUH74" s="278" t="n"/>
      <c r="TUI74" s="278" t="n"/>
      <c r="TUJ74" s="278" t="n"/>
      <c r="TUK74" s="278" t="n"/>
      <c r="TUL74" s="278" t="n"/>
      <c r="TUM74" s="278" t="n"/>
      <c r="TUN74" s="278" t="n"/>
      <c r="TUO74" s="278" t="n"/>
      <c r="TUP74" s="278" t="n"/>
      <c r="TUQ74" s="278" t="n"/>
      <c r="TUR74" s="278" t="n"/>
      <c r="TUS74" s="278" t="n"/>
      <c r="TUT74" s="278" t="n"/>
      <c r="TUU74" s="278" t="n"/>
      <c r="TUV74" s="278" t="n"/>
      <c r="TUW74" s="278" t="n"/>
      <c r="TUX74" s="278" t="n"/>
      <c r="TUY74" s="278" t="n"/>
      <c r="TUZ74" s="278" t="n"/>
      <c r="TVA74" s="278" t="n"/>
      <c r="TVB74" s="278" t="n"/>
      <c r="TVC74" s="278" t="n"/>
      <c r="TVD74" s="278" t="n"/>
      <c r="TVE74" s="278" t="n"/>
      <c r="TVF74" s="278" t="n"/>
      <c r="TVG74" s="278" t="n"/>
      <c r="TVH74" s="278" t="n"/>
      <c r="TVI74" s="278" t="n"/>
      <c r="TVJ74" s="278" t="n"/>
      <c r="TVK74" s="278" t="n"/>
      <c r="TVL74" s="278" t="n"/>
      <c r="TVM74" s="278" t="n"/>
      <c r="TVN74" s="278" t="n"/>
      <c r="TVO74" s="278" t="n"/>
      <c r="TVP74" s="278" t="n"/>
      <c r="TVQ74" s="278" t="n"/>
      <c r="TVR74" s="278" t="n"/>
      <c r="TVS74" s="278" t="n"/>
      <c r="TVT74" s="278" t="n"/>
      <c r="TVU74" s="278" t="n"/>
      <c r="TVV74" s="278" t="n"/>
      <c r="TVW74" s="278" t="n"/>
      <c r="TVX74" s="278" t="n"/>
      <c r="TVY74" s="278" t="n"/>
      <c r="TVZ74" s="278" t="n"/>
      <c r="TWA74" s="278" t="n"/>
      <c r="TWB74" s="278" t="n"/>
      <c r="TWC74" s="278" t="n"/>
      <c r="TWD74" s="278" t="n"/>
      <c r="TWE74" s="278" t="n"/>
      <c r="TWF74" s="278" t="n"/>
      <c r="TWG74" s="278" t="n"/>
      <c r="TWH74" s="278" t="n"/>
      <c r="TWI74" s="278" t="n"/>
      <c r="TWJ74" s="278" t="n"/>
      <c r="TWK74" s="278" t="n"/>
      <c r="TWL74" s="278" t="n"/>
      <c r="TWM74" s="278" t="n"/>
      <c r="TWN74" s="278" t="n"/>
      <c r="TWO74" s="278" t="n"/>
      <c r="TWP74" s="278" t="n"/>
      <c r="TWQ74" s="278" t="n"/>
      <c r="TWR74" s="278" t="n"/>
      <c r="TWS74" s="278" t="n"/>
      <c r="TWT74" s="278" t="n"/>
      <c r="TWU74" s="278" t="n"/>
      <c r="TWV74" s="278" t="n"/>
      <c r="TWW74" s="278" t="n"/>
      <c r="TWX74" s="278" t="n"/>
      <c r="TWY74" s="278" t="n"/>
      <c r="TWZ74" s="278" t="n"/>
      <c r="TXA74" s="278" t="n"/>
      <c r="TXB74" s="278" t="n"/>
      <c r="TXC74" s="278" t="n"/>
      <c r="TXD74" s="278" t="n"/>
      <c r="TXE74" s="278" t="n"/>
      <c r="TXF74" s="278" t="n"/>
      <c r="TXG74" s="278" t="n"/>
      <c r="TXH74" s="278" t="n"/>
      <c r="TXI74" s="278" t="n"/>
      <c r="TXJ74" s="278" t="n"/>
      <c r="TXK74" s="278" t="n"/>
      <c r="TXL74" s="278" t="n"/>
      <c r="TXM74" s="278" t="n"/>
      <c r="TXN74" s="278" t="n"/>
      <c r="TXO74" s="278" t="n"/>
      <c r="TXP74" s="278" t="n"/>
      <c r="TXQ74" s="278" t="n"/>
      <c r="TXR74" s="278" t="n"/>
      <c r="TXS74" s="278" t="n"/>
      <c r="TXT74" s="278" t="n"/>
      <c r="TXU74" s="278" t="n"/>
      <c r="TXV74" s="278" t="n"/>
      <c r="TXW74" s="278" t="n"/>
      <c r="TXX74" s="278" t="n"/>
      <c r="TXY74" s="278" t="n"/>
      <c r="TXZ74" s="278" t="n"/>
      <c r="TYA74" s="278" t="n"/>
      <c r="TYB74" s="278" t="n"/>
      <c r="TYC74" s="278" t="n"/>
      <c r="TYD74" s="278" t="n"/>
      <c r="TYE74" s="278" t="n"/>
      <c r="TYF74" s="278" t="n"/>
      <c r="TYG74" s="278" t="n"/>
      <c r="TYH74" s="278" t="n"/>
      <c r="TYI74" s="278" t="n"/>
      <c r="TYJ74" s="278" t="n"/>
      <c r="TYK74" s="278" t="n"/>
      <c r="TYL74" s="278" t="n"/>
      <c r="TYM74" s="278" t="n"/>
      <c r="TYN74" s="278" t="n"/>
      <c r="TYO74" s="278" t="n"/>
      <c r="TYP74" s="278" t="n"/>
      <c r="TYQ74" s="278" t="n"/>
      <c r="TYR74" s="278" t="n"/>
      <c r="TYS74" s="278" t="n"/>
      <c r="TYT74" s="278" t="n"/>
      <c r="TYU74" s="278" t="n"/>
      <c r="TYV74" s="278" t="n"/>
      <c r="TYW74" s="278" t="n"/>
      <c r="TYX74" s="278" t="n"/>
      <c r="TYY74" s="278" t="n"/>
      <c r="TYZ74" s="278" t="n"/>
      <c r="TZA74" s="278" t="n"/>
      <c r="TZB74" s="278" t="n"/>
      <c r="TZC74" s="278" t="n"/>
      <c r="TZD74" s="278" t="n"/>
      <c r="TZE74" s="278" t="n"/>
      <c r="TZF74" s="278" t="n"/>
      <c r="TZG74" s="278" t="n"/>
      <c r="TZH74" s="278" t="n"/>
      <c r="TZI74" s="278" t="n"/>
      <c r="TZJ74" s="278" t="n"/>
      <c r="TZK74" s="278" t="n"/>
      <c r="TZL74" s="278" t="n"/>
      <c r="TZM74" s="278" t="n"/>
      <c r="TZN74" s="278" t="n"/>
      <c r="TZO74" s="278" t="n"/>
      <c r="TZP74" s="278" t="n"/>
      <c r="TZQ74" s="278" t="n"/>
      <c r="TZR74" s="278" t="n"/>
      <c r="TZS74" s="278" t="n"/>
      <c r="TZT74" s="278" t="n"/>
      <c r="TZU74" s="278" t="n"/>
      <c r="TZV74" s="278" t="n"/>
      <c r="TZW74" s="278" t="n"/>
      <c r="TZX74" s="278" t="n"/>
      <c r="TZY74" s="278" t="n"/>
      <c r="TZZ74" s="278" t="n"/>
      <c r="UAA74" s="278" t="n"/>
      <c r="UAB74" s="278" t="n"/>
      <c r="UAC74" s="278" t="n"/>
      <c r="UAD74" s="278" t="n"/>
      <c r="UAE74" s="278" t="n"/>
      <c r="UAF74" s="278" t="n"/>
      <c r="UAG74" s="278" t="n"/>
      <c r="UAH74" s="278" t="n"/>
      <c r="UAI74" s="278" t="n"/>
      <c r="UAJ74" s="278" t="n"/>
      <c r="UAK74" s="278" t="n"/>
      <c r="UAL74" s="278" t="n"/>
      <c r="UAM74" s="278" t="n"/>
      <c r="UAN74" s="278" t="n"/>
      <c r="UAO74" s="278" t="n"/>
      <c r="UAP74" s="278" t="n"/>
      <c r="UAQ74" s="278" t="n"/>
      <c r="UAR74" s="278" t="n"/>
      <c r="UAS74" s="278" t="n"/>
      <c r="UAT74" s="278" t="n"/>
      <c r="UAU74" s="278" t="n"/>
      <c r="UAV74" s="278" t="n"/>
      <c r="UAW74" s="278" t="n"/>
      <c r="UAX74" s="278" t="n"/>
      <c r="UAY74" s="278" t="n"/>
      <c r="UAZ74" s="278" t="n"/>
      <c r="UBA74" s="278" t="n"/>
      <c r="UBB74" s="278" t="n"/>
      <c r="UBC74" s="278" t="n"/>
      <c r="UBD74" s="278" t="n"/>
      <c r="UBE74" s="278" t="n"/>
      <c r="UBF74" s="278" t="n"/>
      <c r="UBG74" s="278" t="n"/>
      <c r="UBH74" s="278" t="n"/>
      <c r="UBI74" s="278" t="n"/>
      <c r="UBJ74" s="278" t="n"/>
      <c r="UBK74" s="278" t="n"/>
      <c r="UBL74" s="278" t="n"/>
      <c r="UBM74" s="278" t="n"/>
      <c r="UBN74" s="278" t="n"/>
      <c r="UBO74" s="278" t="n"/>
      <c r="UBP74" s="278" t="n"/>
      <c r="UBQ74" s="278" t="n"/>
      <c r="UBR74" s="278" t="n"/>
      <c r="UBS74" s="278" t="n"/>
      <c r="UBT74" s="278" t="n"/>
      <c r="UBU74" s="278" t="n"/>
      <c r="UBV74" s="278" t="n"/>
      <c r="UBW74" s="278" t="n"/>
      <c r="UBX74" s="278" t="n"/>
      <c r="UBY74" s="278" t="n"/>
      <c r="UBZ74" s="278" t="n"/>
      <c r="UCA74" s="278" t="n"/>
      <c r="UCB74" s="278" t="n"/>
      <c r="UCC74" s="278" t="n"/>
      <c r="UCD74" s="278" t="n"/>
      <c r="UCE74" s="278" t="n"/>
      <c r="UCF74" s="278" t="n"/>
      <c r="UCG74" s="278" t="n"/>
      <c r="UCH74" s="278" t="n"/>
      <c r="UCI74" s="278" t="n"/>
      <c r="UCJ74" s="278" t="n"/>
      <c r="UCK74" s="278" t="n"/>
      <c r="UCL74" s="278" t="n"/>
      <c r="UCM74" s="278" t="n"/>
      <c r="UCN74" s="278" t="n"/>
      <c r="UCO74" s="278" t="n"/>
      <c r="UCP74" s="278" t="n"/>
      <c r="UCQ74" s="278" t="n"/>
      <c r="UCR74" s="278" t="n"/>
      <c r="UCS74" s="278" t="n"/>
      <c r="UCT74" s="278" t="n"/>
      <c r="UCU74" s="278" t="n"/>
      <c r="UCV74" s="278" t="n"/>
      <c r="UCW74" s="278" t="n"/>
      <c r="UCX74" s="278" t="n"/>
      <c r="UCY74" s="278" t="n"/>
      <c r="UCZ74" s="278" t="n"/>
      <c r="UDA74" s="278" t="n"/>
      <c r="UDB74" s="278" t="n"/>
      <c r="UDC74" s="278" t="n"/>
      <c r="UDD74" s="278" t="n"/>
      <c r="UDE74" s="278" t="n"/>
      <c r="UDF74" s="278" t="n"/>
      <c r="UDG74" s="278" t="n"/>
      <c r="UDH74" s="278" t="n"/>
      <c r="UDI74" s="278" t="n"/>
      <c r="UDJ74" s="278" t="n"/>
      <c r="UDK74" s="278" t="n"/>
      <c r="UDL74" s="278" t="n"/>
      <c r="UDM74" s="278" t="n"/>
      <c r="UDN74" s="278" t="n"/>
      <c r="UDO74" s="278" t="n"/>
      <c r="UDP74" s="278" t="n"/>
      <c r="UDQ74" s="278" t="n"/>
      <c r="UDR74" s="278" t="n"/>
      <c r="UDS74" s="278" t="n"/>
      <c r="UDT74" s="278" t="n"/>
      <c r="UDU74" s="278" t="n"/>
      <c r="UDV74" s="278" t="n"/>
      <c r="UDW74" s="278" t="n"/>
      <c r="UDX74" s="278" t="n"/>
      <c r="UDY74" s="278" t="n"/>
      <c r="UDZ74" s="278" t="n"/>
      <c r="UEA74" s="278" t="n"/>
      <c r="UEB74" s="278" t="n"/>
      <c r="UEC74" s="278" t="n"/>
      <c r="UED74" s="278" t="n"/>
      <c r="UEE74" s="278" t="n"/>
      <c r="UEF74" s="278" t="n"/>
      <c r="UEG74" s="278" t="n"/>
      <c r="UEH74" s="278" t="n"/>
      <c r="UEI74" s="278" t="n"/>
      <c r="UEJ74" s="278" t="n"/>
      <c r="UEK74" s="278" t="n"/>
      <c r="UEL74" s="278" t="n"/>
      <c r="UEM74" s="278" t="n"/>
      <c r="UEN74" s="278" t="n"/>
      <c r="UEO74" s="278" t="n"/>
      <c r="UEP74" s="278" t="n"/>
      <c r="UEQ74" s="278" t="n"/>
      <c r="UER74" s="278" t="n"/>
      <c r="UES74" s="278" t="n"/>
      <c r="UET74" s="278" t="n"/>
      <c r="UEU74" s="278" t="n"/>
      <c r="UEV74" s="278" t="n"/>
      <c r="UEW74" s="278" t="n"/>
      <c r="UEX74" s="278" t="n"/>
      <c r="UEY74" s="278" t="n"/>
      <c r="UEZ74" s="278" t="n"/>
      <c r="UFA74" s="278" t="n"/>
      <c r="UFB74" s="278" t="n"/>
      <c r="UFC74" s="278" t="n"/>
      <c r="UFD74" s="278" t="n"/>
      <c r="UFE74" s="278" t="n"/>
      <c r="UFF74" s="278" t="n"/>
      <c r="UFG74" s="278" t="n"/>
      <c r="UFH74" s="278" t="n"/>
      <c r="UFI74" s="278" t="n"/>
      <c r="UFJ74" s="278" t="n"/>
      <c r="UFK74" s="278" t="n"/>
      <c r="UFL74" s="278" t="n"/>
      <c r="UFM74" s="278" t="n"/>
      <c r="UFN74" s="278" t="n"/>
      <c r="UFO74" s="278" t="n"/>
      <c r="UFP74" s="278" t="n"/>
      <c r="UFQ74" s="278" t="n"/>
      <c r="UFR74" s="278" t="n"/>
      <c r="UFS74" s="278" t="n"/>
      <c r="UFT74" s="278" t="n"/>
      <c r="UFU74" s="278" t="n"/>
      <c r="UFV74" s="278" t="n"/>
      <c r="UFW74" s="278" t="n"/>
      <c r="UFX74" s="278" t="n"/>
      <c r="UFY74" s="278" t="n"/>
      <c r="UFZ74" s="278" t="n"/>
      <c r="UGA74" s="278" t="n"/>
      <c r="UGB74" s="278" t="n"/>
      <c r="UGC74" s="278" t="n"/>
      <c r="UGD74" s="278" t="n"/>
      <c r="UGE74" s="278" t="n"/>
      <c r="UGF74" s="278" t="n"/>
      <c r="UGG74" s="278" t="n"/>
      <c r="UGH74" s="278" t="n"/>
      <c r="UGI74" s="278" t="n"/>
      <c r="UGJ74" s="278" t="n"/>
      <c r="UGK74" s="278" t="n"/>
      <c r="UGL74" s="278" t="n"/>
      <c r="UGM74" s="278" t="n"/>
      <c r="UGN74" s="278" t="n"/>
      <c r="UGO74" s="278" t="n"/>
      <c r="UGP74" s="278" t="n"/>
      <c r="UGQ74" s="278" t="n"/>
      <c r="UGR74" s="278" t="n"/>
      <c r="UGS74" s="278" t="n"/>
      <c r="UGT74" s="278" t="n"/>
      <c r="UGU74" s="278" t="n"/>
      <c r="UGV74" s="278" t="n"/>
      <c r="UGW74" s="278" t="n"/>
      <c r="UGX74" s="278" t="n"/>
      <c r="UGY74" s="278" t="n"/>
      <c r="UGZ74" s="278" t="n"/>
      <c r="UHA74" s="278" t="n"/>
      <c r="UHB74" s="278" t="n"/>
      <c r="UHC74" s="278" t="n"/>
      <c r="UHD74" s="278" t="n"/>
      <c r="UHE74" s="278" t="n"/>
      <c r="UHF74" s="278" t="n"/>
      <c r="UHG74" s="278" t="n"/>
      <c r="UHH74" s="278" t="n"/>
      <c r="UHI74" s="278" t="n"/>
      <c r="UHJ74" s="278" t="n"/>
      <c r="UHK74" s="278" t="n"/>
      <c r="UHL74" s="278" t="n"/>
      <c r="UHM74" s="278" t="n"/>
      <c r="UHN74" s="278" t="n"/>
      <c r="UHO74" s="278" t="n"/>
      <c r="UHP74" s="278" t="n"/>
      <c r="UHQ74" s="278" t="n"/>
      <c r="UHR74" s="278" t="n"/>
      <c r="UHS74" s="278" t="n"/>
      <c r="UHT74" s="278" t="n"/>
      <c r="UHU74" s="278" t="n"/>
      <c r="UHV74" s="278" t="n"/>
      <c r="UHW74" s="278" t="n"/>
      <c r="UHX74" s="278" t="n"/>
      <c r="UHY74" s="278" t="n"/>
      <c r="UHZ74" s="278" t="n"/>
      <c r="UIA74" s="278" t="n"/>
      <c r="UIB74" s="278" t="n"/>
      <c r="UIC74" s="278" t="n"/>
      <c r="UID74" s="278" t="n"/>
      <c r="UIE74" s="278" t="n"/>
      <c r="UIF74" s="278" t="n"/>
      <c r="UIG74" s="278" t="n"/>
      <c r="UIH74" s="278" t="n"/>
      <c r="UII74" s="278" t="n"/>
      <c r="UIJ74" s="278" t="n"/>
      <c r="UIK74" s="278" t="n"/>
      <c r="UIL74" s="278" t="n"/>
      <c r="UIM74" s="278" t="n"/>
      <c r="UIN74" s="278" t="n"/>
      <c r="UIO74" s="278" t="n"/>
      <c r="UIP74" s="278" t="n"/>
      <c r="UIQ74" s="278" t="n"/>
      <c r="UIR74" s="278" t="n"/>
      <c r="UIS74" s="278" t="n"/>
      <c r="UIT74" s="278" t="n"/>
      <c r="UIU74" s="278" t="n"/>
      <c r="UIV74" s="278" t="n"/>
      <c r="UIW74" s="278" t="n"/>
      <c r="UIX74" s="278" t="n"/>
      <c r="UIY74" s="278" t="n"/>
      <c r="UIZ74" s="278" t="n"/>
      <c r="UJA74" s="278" t="n"/>
      <c r="UJB74" s="278" t="n"/>
      <c r="UJC74" s="278" t="n"/>
      <c r="UJD74" s="278" t="n"/>
      <c r="UJE74" s="278" t="n"/>
      <c r="UJF74" s="278" t="n"/>
      <c r="UJG74" s="278" t="n"/>
      <c r="UJH74" s="278" t="n"/>
      <c r="UJI74" s="278" t="n"/>
      <c r="UJJ74" s="278" t="n"/>
      <c r="UJK74" s="278" t="n"/>
      <c r="UJL74" s="278" t="n"/>
      <c r="UJM74" s="278" t="n"/>
      <c r="UJN74" s="278" t="n"/>
      <c r="UJO74" s="278" t="n"/>
      <c r="UJP74" s="278" t="n"/>
      <c r="UJQ74" s="278" t="n"/>
      <c r="UJR74" s="278" t="n"/>
      <c r="UJS74" s="278" t="n"/>
      <c r="UJT74" s="278" t="n"/>
      <c r="UJU74" s="278" t="n"/>
      <c r="UJV74" s="278" t="n"/>
      <c r="UJW74" s="278" t="n"/>
      <c r="UJX74" s="278" t="n"/>
      <c r="UJY74" s="278" t="n"/>
      <c r="UJZ74" s="278" t="n"/>
      <c r="UKA74" s="278" t="n"/>
      <c r="UKB74" s="278" t="n"/>
      <c r="UKC74" s="278" t="n"/>
      <c r="UKD74" s="278" t="n"/>
      <c r="UKE74" s="278" t="n"/>
      <c r="UKF74" s="278" t="n"/>
      <c r="UKG74" s="278" t="n"/>
      <c r="UKH74" s="278" t="n"/>
      <c r="UKI74" s="278" t="n"/>
      <c r="UKJ74" s="278" t="n"/>
      <c r="UKK74" s="278" t="n"/>
      <c r="UKL74" s="278" t="n"/>
      <c r="UKM74" s="278" t="n"/>
      <c r="UKN74" s="278" t="n"/>
      <c r="UKO74" s="278" t="n"/>
      <c r="UKP74" s="278" t="n"/>
      <c r="UKQ74" s="278" t="n"/>
      <c r="UKR74" s="278" t="n"/>
      <c r="UKS74" s="278" t="n"/>
      <c r="UKT74" s="278" t="n"/>
      <c r="UKU74" s="278" t="n"/>
      <c r="UKV74" s="278" t="n"/>
      <c r="UKW74" s="278" t="n"/>
      <c r="UKX74" s="278" t="n"/>
      <c r="UKY74" s="278" t="n"/>
      <c r="UKZ74" s="278" t="n"/>
      <c r="ULA74" s="278" t="n"/>
      <c r="ULB74" s="278" t="n"/>
      <c r="ULC74" s="278" t="n"/>
      <c r="ULD74" s="278" t="n"/>
      <c r="ULE74" s="278" t="n"/>
      <c r="ULF74" s="278" t="n"/>
      <c r="ULG74" s="278" t="n"/>
      <c r="ULH74" s="278" t="n"/>
      <c r="ULI74" s="278" t="n"/>
      <c r="ULJ74" s="278" t="n"/>
      <c r="ULK74" s="278" t="n"/>
      <c r="ULL74" s="278" t="n"/>
      <c r="ULM74" s="278" t="n"/>
      <c r="ULN74" s="278" t="n"/>
      <c r="ULO74" s="278" t="n"/>
      <c r="ULP74" s="278" t="n"/>
      <c r="ULQ74" s="278" t="n"/>
      <c r="ULR74" s="278" t="n"/>
      <c r="ULS74" s="278" t="n"/>
      <c r="ULT74" s="278" t="n"/>
      <c r="ULU74" s="278" t="n"/>
      <c r="ULV74" s="278" t="n"/>
      <c r="ULW74" s="278" t="n"/>
      <c r="ULX74" s="278" t="n"/>
      <c r="ULY74" s="278" t="n"/>
      <c r="ULZ74" s="278" t="n"/>
      <c r="UMA74" s="278" t="n"/>
      <c r="UMB74" s="278" t="n"/>
      <c r="UMC74" s="278" t="n"/>
      <c r="UMD74" s="278" t="n"/>
      <c r="UME74" s="278" t="n"/>
      <c r="UMF74" s="278" t="n"/>
      <c r="UMG74" s="278" t="n"/>
      <c r="UMH74" s="278" t="n"/>
      <c r="UMI74" s="278" t="n"/>
      <c r="UMJ74" s="278" t="n"/>
      <c r="UMK74" s="278" t="n"/>
      <c r="UML74" s="278" t="n"/>
      <c r="UMM74" s="278" t="n"/>
      <c r="UMN74" s="278" t="n"/>
      <c r="UMO74" s="278" t="n"/>
      <c r="UMP74" s="278" t="n"/>
      <c r="UMQ74" s="278" t="n"/>
      <c r="UMR74" s="278" t="n"/>
      <c r="UMS74" s="278" t="n"/>
      <c r="UMT74" s="278" t="n"/>
      <c r="UMU74" s="278" t="n"/>
      <c r="UMV74" s="278" t="n"/>
      <c r="UMW74" s="278" t="n"/>
      <c r="UMX74" s="278" t="n"/>
      <c r="UMY74" s="278" t="n"/>
      <c r="UMZ74" s="278" t="n"/>
      <c r="UNA74" s="278" t="n"/>
      <c r="UNB74" s="278" t="n"/>
      <c r="UNC74" s="278" t="n"/>
      <c r="UND74" s="278" t="n"/>
      <c r="UNE74" s="278" t="n"/>
      <c r="UNF74" s="278" t="n"/>
      <c r="UNG74" s="278" t="n"/>
      <c r="UNH74" s="278" t="n"/>
      <c r="UNI74" s="278" t="n"/>
      <c r="UNJ74" s="278" t="n"/>
      <c r="UNK74" s="278" t="n"/>
      <c r="UNL74" s="278" t="n"/>
      <c r="UNM74" s="278" t="n"/>
      <c r="UNN74" s="278" t="n"/>
      <c r="UNO74" s="278" t="n"/>
      <c r="UNP74" s="278" t="n"/>
      <c r="UNQ74" s="278" t="n"/>
      <c r="UNR74" s="278" t="n"/>
      <c r="UNS74" s="278" t="n"/>
      <c r="UNT74" s="278" t="n"/>
      <c r="UNU74" s="278" t="n"/>
      <c r="UNV74" s="278" t="n"/>
      <c r="UNW74" s="278" t="n"/>
      <c r="UNX74" s="278" t="n"/>
      <c r="UNY74" s="278" t="n"/>
      <c r="UNZ74" s="278" t="n"/>
      <c r="UOA74" s="278" t="n"/>
      <c r="UOB74" s="278" t="n"/>
      <c r="UOC74" s="278" t="n"/>
      <c r="UOD74" s="278" t="n"/>
      <c r="UOE74" s="278" t="n"/>
      <c r="UOF74" s="278" t="n"/>
      <c r="UOG74" s="278" t="n"/>
      <c r="UOH74" s="278" t="n"/>
      <c r="UOI74" s="278" t="n"/>
      <c r="UOJ74" s="278" t="n"/>
      <c r="UOK74" s="278" t="n"/>
      <c r="UOL74" s="278" t="n"/>
      <c r="UOM74" s="278" t="n"/>
      <c r="UON74" s="278" t="n"/>
      <c r="UOO74" s="278" t="n"/>
      <c r="UOP74" s="278" t="n"/>
      <c r="UOQ74" s="278" t="n"/>
      <c r="UOR74" s="278" t="n"/>
      <c r="UOS74" s="278" t="n"/>
      <c r="UOT74" s="278" t="n"/>
      <c r="UOU74" s="278" t="n"/>
      <c r="UOV74" s="278" t="n"/>
      <c r="UOW74" s="278" t="n"/>
      <c r="UOX74" s="278" t="n"/>
      <c r="UOY74" s="278" t="n"/>
      <c r="UOZ74" s="278" t="n"/>
      <c r="UPA74" s="278" t="n"/>
      <c r="UPB74" s="278" t="n"/>
      <c r="UPC74" s="278" t="n"/>
      <c r="UPD74" s="278" t="n"/>
      <c r="UPE74" s="278" t="n"/>
      <c r="UPF74" s="278" t="n"/>
      <c r="UPG74" s="278" t="n"/>
      <c r="UPH74" s="278" t="n"/>
      <c r="UPI74" s="278" t="n"/>
      <c r="UPJ74" s="278" t="n"/>
      <c r="UPK74" s="278" t="n"/>
      <c r="UPL74" s="278" t="n"/>
      <c r="UPM74" s="278" t="n"/>
      <c r="UPN74" s="278" t="n"/>
      <c r="UPO74" s="278" t="n"/>
      <c r="UPP74" s="278" t="n"/>
      <c r="UPQ74" s="278" t="n"/>
      <c r="UPR74" s="278" t="n"/>
      <c r="UPS74" s="278" t="n"/>
      <c r="UPT74" s="278" t="n"/>
      <c r="UPU74" s="278" t="n"/>
      <c r="UPV74" s="278" t="n"/>
      <c r="UPW74" s="278" t="n"/>
      <c r="UPX74" s="278" t="n"/>
      <c r="UPY74" s="278" t="n"/>
      <c r="UPZ74" s="278" t="n"/>
      <c r="UQA74" s="278" t="n"/>
      <c r="UQB74" s="278" t="n"/>
      <c r="UQC74" s="278" t="n"/>
      <c r="UQD74" s="278" t="n"/>
      <c r="UQE74" s="278" t="n"/>
      <c r="UQF74" s="278" t="n"/>
      <c r="UQG74" s="278" t="n"/>
      <c r="UQH74" s="278" t="n"/>
      <c r="UQI74" s="278" t="n"/>
      <c r="UQJ74" s="278" t="n"/>
      <c r="UQK74" s="278" t="n"/>
      <c r="UQL74" s="278" t="n"/>
      <c r="UQM74" s="278" t="n"/>
      <c r="UQN74" s="278" t="n"/>
      <c r="UQO74" s="278" t="n"/>
      <c r="UQP74" s="278" t="n"/>
      <c r="UQQ74" s="278" t="n"/>
      <c r="UQR74" s="278" t="n"/>
      <c r="UQS74" s="278" t="n"/>
      <c r="UQT74" s="278" t="n"/>
      <c r="UQU74" s="278" t="n"/>
      <c r="UQV74" s="278" t="n"/>
      <c r="UQW74" s="278" t="n"/>
      <c r="UQX74" s="278" t="n"/>
      <c r="UQY74" s="278" t="n"/>
      <c r="UQZ74" s="278" t="n"/>
      <c r="URA74" s="278" t="n"/>
      <c r="URB74" s="278" t="n"/>
      <c r="URC74" s="278" t="n"/>
      <c r="URD74" s="278" t="n"/>
      <c r="URE74" s="278" t="n"/>
      <c r="URF74" s="278" t="n"/>
      <c r="URG74" s="278" t="n"/>
      <c r="URH74" s="278" t="n"/>
      <c r="URI74" s="278" t="n"/>
      <c r="URJ74" s="278" t="n"/>
      <c r="URK74" s="278" t="n"/>
      <c r="URL74" s="278" t="n"/>
      <c r="URM74" s="278" t="n"/>
      <c r="URN74" s="278" t="n"/>
      <c r="URO74" s="278" t="n"/>
      <c r="URP74" s="278" t="n"/>
      <c r="URQ74" s="278" t="n"/>
      <c r="URR74" s="278" t="n"/>
      <c r="URS74" s="278" t="n"/>
      <c r="URT74" s="278" t="n"/>
      <c r="URU74" s="278" t="n"/>
      <c r="URV74" s="278" t="n"/>
      <c r="URW74" s="278" t="n"/>
      <c r="URX74" s="278" t="n"/>
      <c r="URY74" s="278" t="n"/>
      <c r="URZ74" s="278" t="n"/>
      <c r="USA74" s="278" t="n"/>
      <c r="USB74" s="278" t="n"/>
      <c r="USC74" s="278" t="n"/>
      <c r="USD74" s="278" t="n"/>
      <c r="USE74" s="278" t="n"/>
      <c r="USF74" s="278" t="n"/>
      <c r="USG74" s="278" t="n"/>
      <c r="USH74" s="278" t="n"/>
      <c r="USI74" s="278" t="n"/>
      <c r="USJ74" s="278" t="n"/>
      <c r="USK74" s="278" t="n"/>
      <c r="USL74" s="278" t="n"/>
      <c r="USM74" s="278" t="n"/>
      <c r="USN74" s="278" t="n"/>
      <c r="USO74" s="278" t="n"/>
      <c r="USP74" s="278" t="n"/>
      <c r="USQ74" s="278" t="n"/>
      <c r="USR74" s="278" t="n"/>
      <c r="USS74" s="278" t="n"/>
      <c r="UST74" s="278" t="n"/>
      <c r="USU74" s="278" t="n"/>
      <c r="USV74" s="278" t="n"/>
      <c r="USW74" s="278" t="n"/>
      <c r="USX74" s="278" t="n"/>
      <c r="USY74" s="278" t="n"/>
      <c r="USZ74" s="278" t="n"/>
      <c r="UTA74" s="278" t="n"/>
      <c r="UTB74" s="278" t="n"/>
      <c r="UTC74" s="278" t="n"/>
      <c r="UTD74" s="278" t="n"/>
      <c r="UTE74" s="278" t="n"/>
      <c r="UTF74" s="278" t="n"/>
      <c r="UTG74" s="278" t="n"/>
      <c r="UTH74" s="278" t="n"/>
      <c r="UTI74" s="278" t="n"/>
      <c r="UTJ74" s="278" t="n"/>
      <c r="UTK74" s="278" t="n"/>
      <c r="UTL74" s="278" t="n"/>
      <c r="UTM74" s="278" t="n"/>
      <c r="UTN74" s="278" t="n"/>
      <c r="UTO74" s="278" t="n"/>
      <c r="UTP74" s="278" t="n"/>
      <c r="UTQ74" s="278" t="n"/>
      <c r="UTR74" s="278" t="n"/>
      <c r="UTS74" s="278" t="n"/>
      <c r="UTT74" s="278" t="n"/>
      <c r="UTU74" s="278" t="n"/>
      <c r="UTV74" s="278" t="n"/>
      <c r="UTW74" s="278" t="n"/>
      <c r="UTX74" s="278" t="n"/>
      <c r="UTY74" s="278" t="n"/>
      <c r="UTZ74" s="278" t="n"/>
      <c r="UUA74" s="278" t="n"/>
      <c r="UUB74" s="278" t="n"/>
      <c r="UUC74" s="278" t="n"/>
      <c r="UUD74" s="278" t="n"/>
      <c r="UUE74" s="278" t="n"/>
      <c r="UUF74" s="278" t="n"/>
      <c r="UUG74" s="278" t="n"/>
      <c r="UUH74" s="278" t="n"/>
      <c r="UUI74" s="278" t="n"/>
      <c r="UUJ74" s="278" t="n"/>
      <c r="UUK74" s="278" t="n"/>
      <c r="UUL74" s="278" t="n"/>
      <c r="UUM74" s="278" t="n"/>
      <c r="UUN74" s="278" t="n"/>
      <c r="UUO74" s="278" t="n"/>
      <c r="UUP74" s="278" t="n"/>
      <c r="UUQ74" s="278" t="n"/>
      <c r="UUR74" s="278" t="n"/>
      <c r="UUS74" s="278" t="n"/>
      <c r="UUT74" s="278" t="n"/>
      <c r="UUU74" s="278" t="n"/>
      <c r="UUV74" s="278" t="n"/>
      <c r="UUW74" s="278" t="n"/>
      <c r="UUX74" s="278" t="n"/>
      <c r="UUY74" s="278" t="n"/>
      <c r="UUZ74" s="278" t="n"/>
      <c r="UVA74" s="278" t="n"/>
      <c r="UVB74" s="278" t="n"/>
      <c r="UVC74" s="278" t="n"/>
      <c r="UVD74" s="278" t="n"/>
      <c r="UVE74" s="278" t="n"/>
      <c r="UVF74" s="278" t="n"/>
      <c r="UVG74" s="278" t="n"/>
      <c r="UVH74" s="278" t="n"/>
      <c r="UVI74" s="278" t="n"/>
      <c r="UVJ74" s="278" t="n"/>
      <c r="UVK74" s="278" t="n"/>
      <c r="UVL74" s="278" t="n"/>
      <c r="UVM74" s="278" t="n"/>
      <c r="UVN74" s="278" t="n"/>
      <c r="UVO74" s="278" t="n"/>
      <c r="UVP74" s="278" t="n"/>
      <c r="UVQ74" s="278" t="n"/>
      <c r="UVR74" s="278" t="n"/>
      <c r="UVS74" s="278" t="n"/>
      <c r="UVT74" s="278" t="n"/>
      <c r="UVU74" s="278" t="n"/>
      <c r="UVV74" s="278" t="n"/>
      <c r="UVW74" s="278" t="n"/>
      <c r="UVX74" s="278" t="n"/>
      <c r="UVY74" s="278" t="n"/>
      <c r="UVZ74" s="278" t="n"/>
      <c r="UWA74" s="278" t="n"/>
      <c r="UWB74" s="278" t="n"/>
      <c r="UWC74" s="278" t="n"/>
      <c r="UWD74" s="278" t="n"/>
      <c r="UWE74" s="278" t="n"/>
      <c r="UWF74" s="278" t="n"/>
      <c r="UWG74" s="278" t="n"/>
      <c r="UWH74" s="278" t="n"/>
      <c r="UWI74" s="278" t="n"/>
      <c r="UWJ74" s="278" t="n"/>
      <c r="UWK74" s="278" t="n"/>
      <c r="UWL74" s="278" t="n"/>
      <c r="UWM74" s="278" t="n"/>
      <c r="UWN74" s="278" t="n"/>
      <c r="UWO74" s="278" t="n"/>
      <c r="UWP74" s="278" t="n"/>
      <c r="UWQ74" s="278" t="n"/>
      <c r="UWR74" s="278" t="n"/>
      <c r="UWS74" s="278" t="n"/>
      <c r="UWT74" s="278" t="n"/>
      <c r="UWU74" s="278" t="n"/>
      <c r="UWV74" s="278" t="n"/>
      <c r="UWW74" s="278" t="n"/>
      <c r="UWX74" s="278" t="n"/>
      <c r="UWY74" s="278" t="n"/>
      <c r="UWZ74" s="278" t="n"/>
      <c r="UXA74" s="278" t="n"/>
      <c r="UXB74" s="278" t="n"/>
      <c r="UXC74" s="278" t="n"/>
      <c r="UXD74" s="278" t="n"/>
      <c r="UXE74" s="278" t="n"/>
      <c r="UXF74" s="278" t="n"/>
      <c r="UXG74" s="278" t="n"/>
      <c r="UXH74" s="278" t="n"/>
      <c r="UXI74" s="278" t="n"/>
      <c r="UXJ74" s="278" t="n"/>
      <c r="UXK74" s="278" t="n"/>
      <c r="UXL74" s="278" t="n"/>
      <c r="UXM74" s="278" t="n"/>
      <c r="UXN74" s="278" t="n"/>
      <c r="UXO74" s="278" t="n"/>
      <c r="UXP74" s="278" t="n"/>
      <c r="UXQ74" s="278" t="n"/>
      <c r="UXR74" s="278" t="n"/>
      <c r="UXS74" s="278" t="n"/>
      <c r="UXT74" s="278" t="n"/>
      <c r="UXU74" s="278" t="n"/>
      <c r="UXV74" s="278" t="n"/>
      <c r="UXW74" s="278" t="n"/>
      <c r="UXX74" s="278" t="n"/>
      <c r="UXY74" s="278" t="n"/>
      <c r="UXZ74" s="278" t="n"/>
      <c r="UYA74" s="278" t="n"/>
      <c r="UYB74" s="278" t="n"/>
      <c r="UYC74" s="278" t="n"/>
      <c r="UYD74" s="278" t="n"/>
      <c r="UYE74" s="278" t="n"/>
      <c r="UYF74" s="278" t="n"/>
      <c r="UYG74" s="278" t="n"/>
      <c r="UYH74" s="278" t="n"/>
      <c r="UYI74" s="278" t="n"/>
      <c r="UYJ74" s="278" t="n"/>
      <c r="UYK74" s="278" t="n"/>
      <c r="UYL74" s="278" t="n"/>
      <c r="UYM74" s="278" t="n"/>
      <c r="UYN74" s="278" t="n"/>
      <c r="UYO74" s="278" t="n"/>
      <c r="UYP74" s="278" t="n"/>
      <c r="UYQ74" s="278" t="n"/>
      <c r="UYR74" s="278" t="n"/>
      <c r="UYS74" s="278" t="n"/>
      <c r="UYT74" s="278" t="n"/>
      <c r="UYU74" s="278" t="n"/>
      <c r="UYV74" s="278" t="n"/>
      <c r="UYW74" s="278" t="n"/>
      <c r="UYX74" s="278" t="n"/>
      <c r="UYY74" s="278" t="n"/>
      <c r="UYZ74" s="278" t="n"/>
      <c r="UZA74" s="278" t="n"/>
      <c r="UZB74" s="278" t="n"/>
      <c r="UZC74" s="278" t="n"/>
      <c r="UZD74" s="278" t="n"/>
      <c r="UZE74" s="278" t="n"/>
      <c r="UZF74" s="278" t="n"/>
      <c r="UZG74" s="278" t="n"/>
      <c r="UZH74" s="278" t="n"/>
      <c r="UZI74" s="278" t="n"/>
      <c r="UZJ74" s="278" t="n"/>
      <c r="UZK74" s="278" t="n"/>
      <c r="UZL74" s="278" t="n"/>
      <c r="UZM74" s="278" t="n"/>
      <c r="UZN74" s="278" t="n"/>
      <c r="UZO74" s="278" t="n"/>
      <c r="UZP74" s="278" t="n"/>
      <c r="UZQ74" s="278" t="n"/>
      <c r="UZR74" s="278" t="n"/>
      <c r="UZS74" s="278" t="n"/>
      <c r="UZT74" s="278" t="n"/>
      <c r="UZU74" s="278" t="n"/>
      <c r="UZV74" s="278" t="n"/>
      <c r="UZW74" s="278" t="n"/>
      <c r="UZX74" s="278" t="n"/>
      <c r="UZY74" s="278" t="n"/>
      <c r="UZZ74" s="278" t="n"/>
      <c r="VAA74" s="278" t="n"/>
      <c r="VAB74" s="278" t="n"/>
      <c r="VAC74" s="278" t="n"/>
      <c r="VAD74" s="278" t="n"/>
      <c r="VAE74" s="278" t="n"/>
      <c r="VAF74" s="278" t="n"/>
      <c r="VAG74" s="278" t="n"/>
      <c r="VAH74" s="278" t="n"/>
      <c r="VAI74" s="278" t="n"/>
      <c r="VAJ74" s="278" t="n"/>
      <c r="VAK74" s="278" t="n"/>
      <c r="VAL74" s="278" t="n"/>
      <c r="VAM74" s="278" t="n"/>
      <c r="VAN74" s="278" t="n"/>
      <c r="VAO74" s="278" t="n"/>
      <c r="VAP74" s="278" t="n"/>
      <c r="VAQ74" s="278" t="n"/>
      <c r="VAR74" s="278" t="n"/>
      <c r="VAS74" s="278" t="n"/>
      <c r="VAT74" s="278" t="n"/>
      <c r="VAU74" s="278" t="n"/>
      <c r="VAV74" s="278" t="n"/>
      <c r="VAW74" s="278" t="n"/>
      <c r="VAX74" s="278" t="n"/>
      <c r="VAY74" s="278" t="n"/>
      <c r="VAZ74" s="278" t="n"/>
      <c r="VBA74" s="278" t="n"/>
      <c r="VBB74" s="278" t="n"/>
      <c r="VBC74" s="278" t="n"/>
      <c r="VBD74" s="278" t="n"/>
      <c r="VBE74" s="278" t="n"/>
      <c r="VBF74" s="278" t="n"/>
      <c r="VBG74" s="278" t="n"/>
      <c r="VBH74" s="278" t="n"/>
      <c r="VBI74" s="278" t="n"/>
      <c r="VBJ74" s="278" t="n"/>
      <c r="VBK74" s="278" t="n"/>
      <c r="VBL74" s="278" t="n"/>
      <c r="VBM74" s="278" t="n"/>
      <c r="VBN74" s="278" t="n"/>
      <c r="VBO74" s="278" t="n"/>
      <c r="VBP74" s="278" t="n"/>
      <c r="VBQ74" s="278" t="n"/>
      <c r="VBR74" s="278" t="n"/>
      <c r="VBS74" s="278" t="n"/>
      <c r="VBT74" s="278" t="n"/>
      <c r="VBU74" s="278" t="n"/>
      <c r="VBV74" s="278" t="n"/>
      <c r="VBW74" s="278" t="n"/>
      <c r="VBX74" s="278" t="n"/>
      <c r="VBY74" s="278" t="n"/>
      <c r="VBZ74" s="278" t="n"/>
      <c r="VCA74" s="278" t="n"/>
      <c r="VCB74" s="278" t="n"/>
      <c r="VCC74" s="278" t="n"/>
      <c r="VCD74" s="278" t="n"/>
      <c r="VCE74" s="278" t="n"/>
      <c r="VCF74" s="278" t="n"/>
      <c r="VCG74" s="278" t="n"/>
      <c r="VCH74" s="278" t="n"/>
      <c r="VCI74" s="278" t="n"/>
      <c r="VCJ74" s="278" t="n"/>
      <c r="VCK74" s="278" t="n"/>
      <c r="VCL74" s="278" t="n"/>
      <c r="VCM74" s="278" t="n"/>
      <c r="VCN74" s="278" t="n"/>
      <c r="VCO74" s="278" t="n"/>
      <c r="VCP74" s="278" t="n"/>
      <c r="VCQ74" s="278" t="n"/>
      <c r="VCR74" s="278" t="n"/>
      <c r="VCS74" s="278" t="n"/>
      <c r="VCT74" s="278" t="n"/>
      <c r="VCU74" s="278" t="n"/>
      <c r="VCV74" s="278" t="n"/>
      <c r="VCW74" s="278" t="n"/>
      <c r="VCX74" s="278" t="n"/>
      <c r="VCY74" s="278" t="n"/>
      <c r="VCZ74" s="278" t="n"/>
      <c r="VDA74" s="278" t="n"/>
      <c r="VDB74" s="278" t="n"/>
      <c r="VDC74" s="278" t="n"/>
      <c r="VDD74" s="278" t="n"/>
      <c r="VDE74" s="278" t="n"/>
      <c r="VDF74" s="278" t="n"/>
      <c r="VDG74" s="278" t="n"/>
      <c r="VDH74" s="278" t="n"/>
      <c r="VDI74" s="278" t="n"/>
      <c r="VDJ74" s="278" t="n"/>
      <c r="VDK74" s="278" t="n"/>
      <c r="VDL74" s="278" t="n"/>
      <c r="VDM74" s="278" t="n"/>
      <c r="VDN74" s="278" t="n"/>
      <c r="VDO74" s="278" t="n"/>
      <c r="VDP74" s="278" t="n"/>
      <c r="VDQ74" s="278" t="n"/>
      <c r="VDR74" s="278" t="n"/>
      <c r="VDS74" s="278" t="n"/>
      <c r="VDT74" s="278" t="n"/>
      <c r="VDU74" s="278" t="n"/>
      <c r="VDV74" s="278" t="n"/>
      <c r="VDW74" s="278" t="n"/>
      <c r="VDX74" s="278" t="n"/>
      <c r="VDY74" s="278" t="n"/>
      <c r="VDZ74" s="278" t="n"/>
      <c r="VEA74" s="278" t="n"/>
      <c r="VEB74" s="278" t="n"/>
      <c r="VEC74" s="278" t="n"/>
      <c r="VED74" s="278" t="n"/>
      <c r="VEE74" s="278" t="n"/>
      <c r="VEF74" s="278" t="n"/>
      <c r="VEG74" s="278" t="n"/>
      <c r="VEH74" s="278" t="n"/>
      <c r="VEI74" s="278" t="n"/>
      <c r="VEJ74" s="278" t="n"/>
      <c r="VEK74" s="278" t="n"/>
      <c r="VEL74" s="278" t="n"/>
      <c r="VEM74" s="278" t="n"/>
      <c r="VEN74" s="278" t="n"/>
      <c r="VEO74" s="278" t="n"/>
      <c r="VEP74" s="278" t="n"/>
      <c r="VEQ74" s="278" t="n"/>
      <c r="VER74" s="278" t="n"/>
      <c r="VES74" s="278" t="n"/>
      <c r="VET74" s="278" t="n"/>
      <c r="VEU74" s="278" t="n"/>
      <c r="VEV74" s="278" t="n"/>
      <c r="VEW74" s="278" t="n"/>
      <c r="VEX74" s="278" t="n"/>
      <c r="VEY74" s="278" t="n"/>
      <c r="VEZ74" s="278" t="n"/>
      <c r="VFA74" s="278" t="n"/>
      <c r="VFB74" s="278" t="n"/>
      <c r="VFC74" s="278" t="n"/>
      <c r="VFD74" s="278" t="n"/>
      <c r="VFE74" s="278" t="n"/>
      <c r="VFF74" s="278" t="n"/>
      <c r="VFG74" s="278" t="n"/>
      <c r="VFH74" s="278" t="n"/>
      <c r="VFI74" s="278" t="n"/>
      <c r="VFJ74" s="278" t="n"/>
      <c r="VFK74" s="278" t="n"/>
      <c r="VFL74" s="278" t="n"/>
      <c r="VFM74" s="278" t="n"/>
      <c r="VFN74" s="278" t="n"/>
      <c r="VFO74" s="278" t="n"/>
      <c r="VFP74" s="278" t="n"/>
      <c r="VFQ74" s="278" t="n"/>
      <c r="VFR74" s="278" t="n"/>
      <c r="VFS74" s="278" t="n"/>
      <c r="VFT74" s="278" t="n"/>
      <c r="VFU74" s="278" t="n"/>
      <c r="VFV74" s="278" t="n"/>
      <c r="VFW74" s="278" t="n"/>
      <c r="VFX74" s="278" t="n"/>
      <c r="VFY74" s="278" t="n"/>
      <c r="VFZ74" s="278" t="n"/>
      <c r="VGA74" s="278" t="n"/>
      <c r="VGB74" s="278" t="n"/>
      <c r="VGC74" s="278" t="n"/>
      <c r="VGD74" s="278" t="n"/>
      <c r="VGE74" s="278" t="n"/>
      <c r="VGF74" s="278" t="n"/>
      <c r="VGG74" s="278" t="n"/>
      <c r="VGH74" s="278" t="n"/>
      <c r="VGI74" s="278" t="n"/>
      <c r="VGJ74" s="278" t="n"/>
      <c r="VGK74" s="278" t="n"/>
      <c r="VGL74" s="278" t="n"/>
      <c r="VGM74" s="278" t="n"/>
      <c r="VGN74" s="278" t="n"/>
      <c r="VGO74" s="278" t="n"/>
      <c r="VGP74" s="278" t="n"/>
      <c r="VGQ74" s="278" t="n"/>
      <c r="VGR74" s="278" t="n"/>
      <c r="VGS74" s="278" t="n"/>
      <c r="VGT74" s="278" t="n"/>
      <c r="VGU74" s="278" t="n"/>
      <c r="VGV74" s="278" t="n"/>
      <c r="VGW74" s="278" t="n"/>
      <c r="VGX74" s="278" t="n"/>
      <c r="VGY74" s="278" t="n"/>
      <c r="VGZ74" s="278" t="n"/>
      <c r="VHA74" s="278" t="n"/>
      <c r="VHB74" s="278" t="n"/>
      <c r="VHC74" s="278" t="n"/>
      <c r="VHD74" s="278" t="n"/>
      <c r="VHE74" s="278" t="n"/>
      <c r="VHF74" s="278" t="n"/>
      <c r="VHG74" s="278" t="n"/>
      <c r="VHH74" s="278" t="n"/>
      <c r="VHI74" s="278" t="n"/>
      <c r="VHJ74" s="278" t="n"/>
      <c r="VHK74" s="278" t="n"/>
      <c r="VHL74" s="278" t="n"/>
      <c r="VHM74" s="278" t="n"/>
      <c r="VHN74" s="278" t="n"/>
      <c r="VHO74" s="278" t="n"/>
      <c r="VHP74" s="278" t="n"/>
      <c r="VHQ74" s="278" t="n"/>
      <c r="VHR74" s="278" t="n"/>
      <c r="VHS74" s="278" t="n"/>
      <c r="VHT74" s="278" t="n"/>
      <c r="VHU74" s="278" t="n"/>
      <c r="VHV74" s="278" t="n"/>
      <c r="VHW74" s="278" t="n"/>
      <c r="VHX74" s="278" t="n"/>
      <c r="VHY74" s="278" t="n"/>
      <c r="VHZ74" s="278" t="n"/>
      <c r="VIA74" s="278" t="n"/>
      <c r="VIB74" s="278" t="n"/>
      <c r="VIC74" s="278" t="n"/>
      <c r="VID74" s="278" t="n"/>
      <c r="VIE74" s="278" t="n"/>
      <c r="VIF74" s="278" t="n"/>
      <c r="VIG74" s="278" t="n"/>
      <c r="VIH74" s="278" t="n"/>
      <c r="VII74" s="278" t="n"/>
      <c r="VIJ74" s="278" t="n"/>
      <c r="VIK74" s="278" t="n"/>
      <c r="VIL74" s="278" t="n"/>
      <c r="VIM74" s="278" t="n"/>
      <c r="VIN74" s="278" t="n"/>
      <c r="VIO74" s="278" t="n"/>
      <c r="VIP74" s="278" t="n"/>
      <c r="VIQ74" s="278" t="n"/>
      <c r="VIR74" s="278" t="n"/>
      <c r="VIS74" s="278" t="n"/>
      <c r="VIT74" s="278" t="n"/>
      <c r="VIU74" s="278" t="n"/>
      <c r="VIV74" s="278" t="n"/>
      <c r="VIW74" s="278" t="n"/>
      <c r="VIX74" s="278" t="n"/>
      <c r="VIY74" s="278" t="n"/>
      <c r="VIZ74" s="278" t="n"/>
      <c r="VJA74" s="278" t="n"/>
      <c r="VJB74" s="278" t="n"/>
      <c r="VJC74" s="278" t="n"/>
      <c r="VJD74" s="278" t="n"/>
      <c r="VJE74" s="278" t="n"/>
      <c r="VJF74" s="278" t="n"/>
      <c r="VJG74" s="278" t="n"/>
      <c r="VJH74" s="278" t="n"/>
      <c r="VJI74" s="278" t="n"/>
      <c r="VJJ74" s="278" t="n"/>
      <c r="VJK74" s="278" t="n"/>
      <c r="VJL74" s="278" t="n"/>
      <c r="VJM74" s="278" t="n"/>
      <c r="VJN74" s="278" t="n"/>
      <c r="VJO74" s="278" t="n"/>
      <c r="VJP74" s="278" t="n"/>
      <c r="VJQ74" s="278" t="n"/>
      <c r="VJR74" s="278" t="n"/>
      <c r="VJS74" s="278" t="n"/>
      <c r="VJT74" s="278" t="n"/>
      <c r="VJU74" s="278" t="n"/>
      <c r="VJV74" s="278" t="n"/>
      <c r="VJW74" s="278" t="n"/>
      <c r="VJX74" s="278" t="n"/>
      <c r="VJY74" s="278" t="n"/>
      <c r="VJZ74" s="278" t="n"/>
      <c r="VKA74" s="278" t="n"/>
      <c r="VKB74" s="278" t="n"/>
      <c r="VKC74" s="278" t="n"/>
      <c r="VKD74" s="278" t="n"/>
      <c r="VKE74" s="278" t="n"/>
      <c r="VKF74" s="278" t="n"/>
      <c r="VKG74" s="278" t="n"/>
      <c r="VKH74" s="278" t="n"/>
      <c r="VKI74" s="278" t="n"/>
      <c r="VKJ74" s="278" t="n"/>
      <c r="VKK74" s="278" t="n"/>
      <c r="VKL74" s="278" t="n"/>
      <c r="VKM74" s="278" t="n"/>
      <c r="VKN74" s="278" t="n"/>
      <c r="VKO74" s="278" t="n"/>
      <c r="VKP74" s="278" t="n"/>
      <c r="VKQ74" s="278" t="n"/>
      <c r="VKR74" s="278" t="n"/>
      <c r="VKS74" s="278" t="n"/>
      <c r="VKT74" s="278" t="n"/>
      <c r="VKU74" s="278" t="n"/>
      <c r="VKV74" s="278" t="n"/>
      <c r="VKW74" s="278" t="n"/>
      <c r="VKX74" s="278" t="n"/>
      <c r="VKY74" s="278" t="n"/>
      <c r="VKZ74" s="278" t="n"/>
      <c r="VLA74" s="278" t="n"/>
      <c r="VLB74" s="278" t="n"/>
      <c r="VLC74" s="278" t="n"/>
      <c r="VLD74" s="278" t="n"/>
      <c r="VLE74" s="278" t="n"/>
      <c r="VLF74" s="278" t="n"/>
      <c r="VLG74" s="278" t="n"/>
      <c r="VLH74" s="278" t="n"/>
      <c r="VLI74" s="278" t="n"/>
      <c r="VLJ74" s="278" t="n"/>
      <c r="VLK74" s="278" t="n"/>
      <c r="VLL74" s="278" t="n"/>
      <c r="VLM74" s="278" t="n"/>
      <c r="VLN74" s="278" t="n"/>
      <c r="VLO74" s="278" t="n"/>
      <c r="VLP74" s="278" t="n"/>
      <c r="VLQ74" s="278" t="n"/>
      <c r="VLR74" s="278" t="n"/>
      <c r="VLS74" s="278" t="n"/>
      <c r="VLT74" s="278" t="n"/>
      <c r="VLU74" s="278" t="n"/>
      <c r="VLV74" s="278" t="n"/>
      <c r="VLW74" s="278" t="n"/>
      <c r="VLX74" s="278" t="n"/>
      <c r="VLY74" s="278" t="n"/>
      <c r="VLZ74" s="278" t="n"/>
      <c r="VMA74" s="278" t="n"/>
      <c r="VMB74" s="278" t="n"/>
      <c r="VMC74" s="278" t="n"/>
      <c r="VMD74" s="278" t="n"/>
      <c r="VME74" s="278" t="n"/>
      <c r="VMF74" s="278" t="n"/>
      <c r="VMG74" s="278" t="n"/>
      <c r="VMH74" s="278" t="n"/>
      <c r="VMI74" s="278" t="n"/>
      <c r="VMJ74" s="278" t="n"/>
      <c r="VMK74" s="278" t="n"/>
      <c r="VML74" s="278" t="n"/>
      <c r="VMM74" s="278" t="n"/>
      <c r="VMN74" s="278" t="n"/>
      <c r="VMO74" s="278" t="n"/>
      <c r="VMP74" s="278" t="n"/>
      <c r="VMQ74" s="278" t="n"/>
      <c r="VMR74" s="278" t="n"/>
      <c r="VMS74" s="278" t="n"/>
      <c r="VMT74" s="278" t="n"/>
      <c r="VMU74" s="278" t="n"/>
      <c r="VMV74" s="278" t="n"/>
      <c r="VMW74" s="278" t="n"/>
      <c r="VMX74" s="278" t="n"/>
      <c r="VMY74" s="278" t="n"/>
      <c r="VMZ74" s="278" t="n"/>
      <c r="VNA74" s="278" t="n"/>
      <c r="VNB74" s="278" t="n"/>
      <c r="VNC74" s="278" t="n"/>
      <c r="VND74" s="278" t="n"/>
      <c r="VNE74" s="278" t="n"/>
      <c r="VNF74" s="278" t="n"/>
      <c r="VNG74" s="278" t="n"/>
      <c r="VNH74" s="278" t="n"/>
      <c r="VNI74" s="278" t="n"/>
      <c r="VNJ74" s="278" t="n"/>
      <c r="VNK74" s="278" t="n"/>
      <c r="VNL74" s="278" t="n"/>
      <c r="VNM74" s="278" t="n"/>
      <c r="VNN74" s="278" t="n"/>
      <c r="VNO74" s="278" t="n"/>
      <c r="VNP74" s="278" t="n"/>
      <c r="VNQ74" s="278" t="n"/>
      <c r="VNR74" s="278" t="n"/>
      <c r="VNS74" s="278" t="n"/>
      <c r="VNT74" s="278" t="n"/>
      <c r="VNU74" s="278" t="n"/>
      <c r="VNV74" s="278" t="n"/>
      <c r="VNW74" s="278" t="n"/>
      <c r="VNX74" s="278" t="n"/>
      <c r="VNY74" s="278" t="n"/>
      <c r="VNZ74" s="278" t="n"/>
      <c r="VOA74" s="278" t="n"/>
      <c r="VOB74" s="278" t="n"/>
      <c r="VOC74" s="278" t="n"/>
      <c r="VOD74" s="278" t="n"/>
      <c r="VOE74" s="278" t="n"/>
      <c r="VOF74" s="278" t="n"/>
      <c r="VOG74" s="278" t="n"/>
      <c r="VOH74" s="278" t="n"/>
      <c r="VOI74" s="278" t="n"/>
      <c r="VOJ74" s="278" t="n"/>
      <c r="VOK74" s="278" t="n"/>
      <c r="VOL74" s="278" t="n"/>
      <c r="VOM74" s="278" t="n"/>
      <c r="VON74" s="278" t="n"/>
      <c r="VOO74" s="278" t="n"/>
      <c r="VOP74" s="278" t="n"/>
      <c r="VOQ74" s="278" t="n"/>
      <c r="VOR74" s="278" t="n"/>
      <c r="VOS74" s="278" t="n"/>
      <c r="VOT74" s="278" t="n"/>
      <c r="VOU74" s="278" t="n"/>
      <c r="VOV74" s="278" t="n"/>
      <c r="VOW74" s="278" t="n"/>
      <c r="VOX74" s="278" t="n"/>
      <c r="VOY74" s="278" t="n"/>
      <c r="VOZ74" s="278" t="n"/>
      <c r="VPA74" s="278" t="n"/>
      <c r="VPB74" s="278" t="n"/>
      <c r="VPC74" s="278" t="n"/>
      <c r="VPD74" s="278" t="n"/>
      <c r="VPE74" s="278" t="n"/>
      <c r="VPF74" s="278" t="n"/>
      <c r="VPG74" s="278" t="n"/>
      <c r="VPH74" s="278" t="n"/>
      <c r="VPI74" s="278" t="n"/>
      <c r="VPJ74" s="278" t="n"/>
      <c r="VPK74" s="278" t="n"/>
      <c r="VPL74" s="278" t="n"/>
      <c r="VPM74" s="278" t="n"/>
      <c r="VPN74" s="278" t="n"/>
      <c r="VPO74" s="278" t="n"/>
      <c r="VPP74" s="278" t="n"/>
      <c r="VPQ74" s="278" t="n"/>
      <c r="VPR74" s="278" t="n"/>
      <c r="VPS74" s="278" t="n"/>
      <c r="VPT74" s="278" t="n"/>
      <c r="VPU74" s="278" t="n"/>
      <c r="VPV74" s="278" t="n"/>
      <c r="VPW74" s="278" t="n"/>
      <c r="VPX74" s="278" t="n"/>
      <c r="VPY74" s="278" t="n"/>
      <c r="VPZ74" s="278" t="n"/>
      <c r="VQA74" s="278" t="n"/>
      <c r="VQB74" s="278" t="n"/>
      <c r="VQC74" s="278" t="n"/>
      <c r="VQD74" s="278" t="n"/>
      <c r="VQE74" s="278" t="n"/>
      <c r="VQF74" s="278" t="n"/>
      <c r="VQG74" s="278" t="n"/>
      <c r="VQH74" s="278" t="n"/>
      <c r="VQI74" s="278" t="n"/>
      <c r="VQJ74" s="278" t="n"/>
      <c r="VQK74" s="278" t="n"/>
      <c r="VQL74" s="278" t="n"/>
      <c r="VQM74" s="278" t="n"/>
      <c r="VQN74" s="278" t="n"/>
      <c r="VQO74" s="278" t="n"/>
      <c r="VQP74" s="278" t="n"/>
      <c r="VQQ74" s="278" t="n"/>
      <c r="VQR74" s="278" t="n"/>
      <c r="VQS74" s="278" t="n"/>
      <c r="VQT74" s="278" t="n"/>
      <c r="VQU74" s="278" t="n"/>
      <c r="VQV74" s="278" t="n"/>
      <c r="VQW74" s="278" t="n"/>
      <c r="VQX74" s="278" t="n"/>
      <c r="VQY74" s="278" t="n"/>
      <c r="VQZ74" s="278" t="n"/>
      <c r="VRA74" s="278" t="n"/>
      <c r="VRB74" s="278" t="n"/>
      <c r="VRC74" s="278" t="n"/>
      <c r="VRD74" s="278" t="n"/>
      <c r="VRE74" s="278" t="n"/>
      <c r="VRF74" s="278" t="n"/>
      <c r="VRG74" s="278" t="n"/>
      <c r="VRH74" s="278" t="n"/>
      <c r="VRI74" s="278" t="n"/>
      <c r="VRJ74" s="278" t="n"/>
      <c r="VRK74" s="278" t="n"/>
      <c r="VRL74" s="278" t="n"/>
      <c r="VRM74" s="278" t="n"/>
      <c r="VRN74" s="278" t="n"/>
      <c r="VRO74" s="278" t="n"/>
      <c r="VRP74" s="278" t="n"/>
      <c r="VRQ74" s="278" t="n"/>
      <c r="VRR74" s="278" t="n"/>
      <c r="VRS74" s="278" t="n"/>
      <c r="VRT74" s="278" t="n"/>
      <c r="VRU74" s="278" t="n"/>
      <c r="VRV74" s="278" t="n"/>
      <c r="VRW74" s="278" t="n"/>
      <c r="VRX74" s="278" t="n"/>
      <c r="VRY74" s="278" t="n"/>
      <c r="VRZ74" s="278" t="n"/>
      <c r="VSA74" s="278" t="n"/>
      <c r="VSB74" s="278" t="n"/>
      <c r="VSC74" s="278" t="n"/>
      <c r="VSD74" s="278" t="n"/>
      <c r="VSE74" s="278" t="n"/>
      <c r="VSF74" s="278" t="n"/>
      <c r="VSG74" s="278" t="n"/>
      <c r="VSH74" s="278" t="n"/>
      <c r="VSI74" s="278" t="n"/>
      <c r="VSJ74" s="278" t="n"/>
      <c r="VSK74" s="278" t="n"/>
      <c r="VSL74" s="278" t="n"/>
      <c r="VSM74" s="278" t="n"/>
      <c r="VSN74" s="278" t="n"/>
      <c r="VSO74" s="278" t="n"/>
      <c r="VSP74" s="278" t="n"/>
      <c r="VSQ74" s="278" t="n"/>
      <c r="VSR74" s="278" t="n"/>
      <c r="VSS74" s="278" t="n"/>
      <c r="VST74" s="278" t="n"/>
      <c r="VSU74" s="278" t="n"/>
      <c r="VSV74" s="278" t="n"/>
      <c r="VSW74" s="278" t="n"/>
      <c r="VSX74" s="278" t="n"/>
      <c r="VSY74" s="278" t="n"/>
      <c r="VSZ74" s="278" t="n"/>
      <c r="VTA74" s="278" t="n"/>
      <c r="VTB74" s="278" t="n"/>
      <c r="VTC74" s="278" t="n"/>
      <c r="VTD74" s="278" t="n"/>
      <c r="VTE74" s="278" t="n"/>
      <c r="VTF74" s="278" t="n"/>
      <c r="VTG74" s="278" t="n"/>
      <c r="VTH74" s="278" t="n"/>
      <c r="VTI74" s="278" t="n"/>
      <c r="VTJ74" s="278" t="n"/>
      <c r="VTK74" s="278" t="n"/>
      <c r="VTL74" s="278" t="n"/>
      <c r="VTM74" s="278" t="n"/>
      <c r="VTN74" s="278" t="n"/>
      <c r="VTO74" s="278" t="n"/>
      <c r="VTP74" s="278" t="n"/>
      <c r="VTQ74" s="278" t="n"/>
      <c r="VTR74" s="278" t="n"/>
      <c r="VTS74" s="278" t="n"/>
      <c r="VTT74" s="278" t="n"/>
      <c r="VTU74" s="278" t="n"/>
      <c r="VTV74" s="278" t="n"/>
      <c r="VTW74" s="278" t="n"/>
      <c r="VTX74" s="278" t="n"/>
      <c r="VTY74" s="278" t="n"/>
      <c r="VTZ74" s="278" t="n"/>
      <c r="VUA74" s="278" t="n"/>
      <c r="VUB74" s="278" t="n"/>
      <c r="VUC74" s="278" t="n"/>
      <c r="VUD74" s="278" t="n"/>
      <c r="VUE74" s="278" t="n"/>
      <c r="VUF74" s="278" t="n"/>
      <c r="VUG74" s="278" t="n"/>
      <c r="VUH74" s="278" t="n"/>
      <c r="VUI74" s="278" t="n"/>
      <c r="VUJ74" s="278" t="n"/>
      <c r="VUK74" s="278" t="n"/>
      <c r="VUL74" s="278" t="n"/>
      <c r="VUM74" s="278" t="n"/>
      <c r="VUN74" s="278" t="n"/>
      <c r="VUO74" s="278" t="n"/>
      <c r="VUP74" s="278" t="n"/>
      <c r="VUQ74" s="278" t="n"/>
      <c r="VUR74" s="278" t="n"/>
      <c r="VUS74" s="278" t="n"/>
      <c r="VUT74" s="278" t="n"/>
      <c r="VUU74" s="278" t="n"/>
      <c r="VUV74" s="278" t="n"/>
      <c r="VUW74" s="278" t="n"/>
      <c r="VUX74" s="278" t="n"/>
      <c r="VUY74" s="278" t="n"/>
      <c r="VUZ74" s="278" t="n"/>
      <c r="VVA74" s="278" t="n"/>
      <c r="VVB74" s="278" t="n"/>
      <c r="VVC74" s="278" t="n"/>
      <c r="VVD74" s="278" t="n"/>
      <c r="VVE74" s="278" t="n"/>
      <c r="VVF74" s="278" t="n"/>
      <c r="VVG74" s="278" t="n"/>
      <c r="VVH74" s="278" t="n"/>
      <c r="VVI74" s="278" t="n"/>
      <c r="VVJ74" s="278" t="n"/>
      <c r="VVK74" s="278" t="n"/>
      <c r="VVL74" s="278" t="n"/>
      <c r="VVM74" s="278" t="n"/>
      <c r="VVN74" s="278" t="n"/>
      <c r="VVO74" s="278" t="n"/>
      <c r="VVP74" s="278" t="n"/>
      <c r="VVQ74" s="278" t="n"/>
      <c r="VVR74" s="278" t="n"/>
      <c r="VVS74" s="278" t="n"/>
      <c r="VVT74" s="278" t="n"/>
      <c r="VVU74" s="278" t="n"/>
      <c r="VVV74" s="278" t="n"/>
      <c r="VVW74" s="278" t="n"/>
      <c r="VVX74" s="278" t="n"/>
      <c r="VVY74" s="278" t="n"/>
      <c r="VVZ74" s="278" t="n"/>
      <c r="VWA74" s="278" t="n"/>
      <c r="VWB74" s="278" t="n"/>
      <c r="VWC74" s="278" t="n"/>
      <c r="VWD74" s="278" t="n"/>
      <c r="VWE74" s="278" t="n"/>
      <c r="VWF74" s="278" t="n"/>
      <c r="VWG74" s="278" t="n"/>
      <c r="VWH74" s="278" t="n"/>
      <c r="VWI74" s="278" t="n"/>
      <c r="VWJ74" s="278" t="n"/>
      <c r="VWK74" s="278" t="n"/>
      <c r="VWL74" s="278" t="n"/>
      <c r="VWM74" s="278" t="n"/>
      <c r="VWN74" s="278" t="n"/>
      <c r="VWO74" s="278" t="n"/>
      <c r="VWP74" s="278" t="n"/>
      <c r="VWQ74" s="278" t="n"/>
      <c r="VWR74" s="278" t="n"/>
      <c r="VWS74" s="278" t="n"/>
      <c r="VWT74" s="278" t="n"/>
      <c r="VWU74" s="278" t="n"/>
      <c r="VWV74" s="278" t="n"/>
      <c r="VWW74" s="278" t="n"/>
      <c r="VWX74" s="278" t="n"/>
      <c r="VWY74" s="278" t="n"/>
      <c r="VWZ74" s="278" t="n"/>
      <c r="VXA74" s="278" t="n"/>
      <c r="VXB74" s="278" t="n"/>
      <c r="VXC74" s="278" t="n"/>
      <c r="VXD74" s="278" t="n"/>
      <c r="VXE74" s="278" t="n"/>
      <c r="VXF74" s="278" t="n"/>
      <c r="VXG74" s="278" t="n"/>
      <c r="VXH74" s="278" t="n"/>
      <c r="VXI74" s="278" t="n"/>
      <c r="VXJ74" s="278" t="n"/>
      <c r="VXK74" s="278" t="n"/>
      <c r="VXL74" s="278" t="n"/>
      <c r="VXM74" s="278" t="n"/>
      <c r="VXN74" s="278" t="n"/>
      <c r="VXO74" s="278" t="n"/>
      <c r="VXP74" s="278" t="n"/>
      <c r="VXQ74" s="278" t="n"/>
      <c r="VXR74" s="278" t="n"/>
      <c r="VXS74" s="278" t="n"/>
      <c r="VXT74" s="278" t="n"/>
      <c r="VXU74" s="278" t="n"/>
      <c r="VXV74" s="278" t="n"/>
      <c r="VXW74" s="278" t="n"/>
      <c r="VXX74" s="278" t="n"/>
      <c r="VXY74" s="278" t="n"/>
      <c r="VXZ74" s="278" t="n"/>
      <c r="VYA74" s="278" t="n"/>
      <c r="VYB74" s="278" t="n"/>
      <c r="VYC74" s="278" t="n"/>
      <c r="VYD74" s="278" t="n"/>
      <c r="VYE74" s="278" t="n"/>
      <c r="VYF74" s="278" t="n"/>
      <c r="VYG74" s="278" t="n"/>
      <c r="VYH74" s="278" t="n"/>
      <c r="VYI74" s="278" t="n"/>
      <c r="VYJ74" s="278" t="n"/>
      <c r="VYK74" s="278" t="n"/>
      <c r="VYL74" s="278" t="n"/>
      <c r="VYM74" s="278" t="n"/>
      <c r="VYN74" s="278" t="n"/>
      <c r="VYO74" s="278" t="n"/>
      <c r="VYP74" s="278" t="n"/>
      <c r="VYQ74" s="278" t="n"/>
      <c r="VYR74" s="278" t="n"/>
      <c r="VYS74" s="278" t="n"/>
      <c r="VYT74" s="278" t="n"/>
      <c r="VYU74" s="278" t="n"/>
      <c r="VYV74" s="278" t="n"/>
      <c r="VYW74" s="278" t="n"/>
      <c r="VYX74" s="278" t="n"/>
      <c r="VYY74" s="278" t="n"/>
      <c r="VYZ74" s="278" t="n"/>
      <c r="VZA74" s="278" t="n"/>
      <c r="VZB74" s="278" t="n"/>
      <c r="VZC74" s="278" t="n"/>
      <c r="VZD74" s="278" t="n"/>
      <c r="VZE74" s="278" t="n"/>
      <c r="VZF74" s="278" t="n"/>
      <c r="VZG74" s="278" t="n"/>
      <c r="VZH74" s="278" t="n"/>
      <c r="VZI74" s="278" t="n"/>
      <c r="VZJ74" s="278" t="n"/>
      <c r="VZK74" s="278" t="n"/>
      <c r="VZL74" s="278" t="n"/>
      <c r="VZM74" s="278" t="n"/>
      <c r="VZN74" s="278" t="n"/>
      <c r="VZO74" s="278" t="n"/>
      <c r="VZP74" s="278" t="n"/>
      <c r="VZQ74" s="278" t="n"/>
      <c r="VZR74" s="278" t="n"/>
      <c r="VZS74" s="278" t="n"/>
      <c r="VZT74" s="278" t="n"/>
      <c r="VZU74" s="278" t="n"/>
      <c r="VZV74" s="278" t="n"/>
      <c r="VZW74" s="278" t="n"/>
      <c r="VZX74" s="278" t="n"/>
      <c r="VZY74" s="278" t="n"/>
      <c r="VZZ74" s="278" t="n"/>
      <c r="WAA74" s="278" t="n"/>
      <c r="WAB74" s="278" t="n"/>
      <c r="WAC74" s="278" t="n"/>
      <c r="WAD74" s="278" t="n"/>
      <c r="WAE74" s="278" t="n"/>
      <c r="WAF74" s="278" t="n"/>
      <c r="WAG74" s="278" t="n"/>
      <c r="WAH74" s="278" t="n"/>
      <c r="WAI74" s="278" t="n"/>
      <c r="WAJ74" s="278" t="n"/>
      <c r="WAK74" s="278" t="n"/>
      <c r="WAL74" s="278" t="n"/>
      <c r="WAM74" s="278" t="n"/>
      <c r="WAN74" s="278" t="n"/>
      <c r="WAO74" s="278" t="n"/>
      <c r="WAP74" s="278" t="n"/>
      <c r="WAQ74" s="278" t="n"/>
      <c r="WAR74" s="278" t="n"/>
      <c r="WAS74" s="278" t="n"/>
      <c r="WAT74" s="278" t="n"/>
      <c r="WAU74" s="278" t="n"/>
      <c r="WAV74" s="278" t="n"/>
      <c r="WAW74" s="278" t="n"/>
      <c r="WAX74" s="278" t="n"/>
      <c r="WAY74" s="278" t="n"/>
      <c r="WAZ74" s="278" t="n"/>
      <c r="WBA74" s="278" t="n"/>
      <c r="WBB74" s="278" t="n"/>
      <c r="WBC74" s="278" t="n"/>
      <c r="WBD74" s="278" t="n"/>
      <c r="WBE74" s="278" t="n"/>
      <c r="WBF74" s="278" t="n"/>
      <c r="WBG74" s="278" t="n"/>
      <c r="WBH74" s="278" t="n"/>
      <c r="WBI74" s="278" t="n"/>
      <c r="WBJ74" s="278" t="n"/>
      <c r="WBK74" s="278" t="n"/>
      <c r="WBL74" s="278" t="n"/>
      <c r="WBM74" s="278" t="n"/>
      <c r="WBN74" s="278" t="n"/>
      <c r="WBO74" s="278" t="n"/>
      <c r="WBP74" s="278" t="n"/>
      <c r="WBQ74" s="278" t="n"/>
      <c r="WBR74" s="278" t="n"/>
      <c r="WBS74" s="278" t="n"/>
      <c r="WBT74" s="278" t="n"/>
      <c r="WBU74" s="278" t="n"/>
      <c r="WBV74" s="278" t="n"/>
      <c r="WBW74" s="278" t="n"/>
      <c r="WBX74" s="278" t="n"/>
      <c r="WBY74" s="278" t="n"/>
      <c r="WBZ74" s="278" t="n"/>
      <c r="WCA74" s="278" t="n"/>
      <c r="WCB74" s="278" t="n"/>
      <c r="WCC74" s="278" t="n"/>
      <c r="WCD74" s="278" t="n"/>
      <c r="WCE74" s="278" t="n"/>
      <c r="WCF74" s="278" t="n"/>
      <c r="WCG74" s="278" t="n"/>
      <c r="WCH74" s="278" t="n"/>
      <c r="WCI74" s="278" t="n"/>
      <c r="WCJ74" s="278" t="n"/>
      <c r="WCK74" s="278" t="n"/>
      <c r="WCL74" s="278" t="n"/>
      <c r="WCM74" s="278" t="n"/>
      <c r="WCN74" s="278" t="n"/>
      <c r="WCO74" s="278" t="n"/>
      <c r="WCP74" s="278" t="n"/>
      <c r="WCQ74" s="278" t="n"/>
      <c r="WCR74" s="278" t="n"/>
      <c r="WCS74" s="278" t="n"/>
      <c r="WCT74" s="278" t="n"/>
      <c r="WCU74" s="278" t="n"/>
      <c r="WCV74" s="278" t="n"/>
      <c r="WCW74" s="278" t="n"/>
      <c r="WCX74" s="278" t="n"/>
      <c r="WCY74" s="278" t="n"/>
      <c r="WCZ74" s="278" t="n"/>
      <c r="WDA74" s="278" t="n"/>
      <c r="WDB74" s="278" t="n"/>
      <c r="WDC74" s="278" t="n"/>
      <c r="WDD74" s="278" t="n"/>
      <c r="WDE74" s="278" t="n"/>
      <c r="WDF74" s="278" t="n"/>
      <c r="WDG74" s="278" t="n"/>
      <c r="WDH74" s="278" t="n"/>
      <c r="WDI74" s="278" t="n"/>
      <c r="WDJ74" s="278" t="n"/>
      <c r="WDK74" s="278" t="n"/>
      <c r="WDL74" s="278" t="n"/>
      <c r="WDM74" s="278" t="n"/>
      <c r="WDN74" s="278" t="n"/>
      <c r="WDO74" s="278" t="n"/>
      <c r="WDP74" s="278" t="n"/>
      <c r="WDQ74" s="278" t="n"/>
      <c r="WDR74" s="278" t="n"/>
      <c r="WDS74" s="278" t="n"/>
      <c r="WDT74" s="278" t="n"/>
      <c r="WDU74" s="278" t="n"/>
      <c r="WDV74" s="278" t="n"/>
      <c r="WDW74" s="278" t="n"/>
      <c r="WDX74" s="278" t="n"/>
      <c r="WDY74" s="278" t="n"/>
      <c r="WDZ74" s="278" t="n"/>
      <c r="WEA74" s="278" t="n"/>
      <c r="WEB74" s="278" t="n"/>
      <c r="WEC74" s="278" t="n"/>
      <c r="WED74" s="278" t="n"/>
      <c r="WEE74" s="278" t="n"/>
      <c r="WEF74" s="278" t="n"/>
      <c r="WEG74" s="278" t="n"/>
      <c r="WEH74" s="278" t="n"/>
      <c r="WEI74" s="278" t="n"/>
      <c r="WEJ74" s="278" t="n"/>
      <c r="WEK74" s="278" t="n"/>
      <c r="WEL74" s="278" t="n"/>
      <c r="WEM74" s="278" t="n"/>
      <c r="WEN74" s="278" t="n"/>
      <c r="WEO74" s="278" t="n"/>
      <c r="WEP74" s="278" t="n"/>
      <c r="WEQ74" s="278" t="n"/>
      <c r="WER74" s="278" t="n"/>
      <c r="WES74" s="278" t="n"/>
      <c r="WET74" s="278" t="n"/>
      <c r="WEU74" s="278" t="n"/>
      <c r="WEV74" s="278" t="n"/>
      <c r="WEW74" s="278" t="n"/>
      <c r="WEX74" s="278" t="n"/>
      <c r="WEY74" s="278" t="n"/>
      <c r="WEZ74" s="278" t="n"/>
      <c r="WFA74" s="278" t="n"/>
      <c r="WFB74" s="278" t="n"/>
      <c r="WFC74" s="278" t="n"/>
      <c r="WFD74" s="278" t="n"/>
      <c r="WFE74" s="278" t="n"/>
      <c r="WFF74" s="278" t="n"/>
      <c r="WFG74" s="278" t="n"/>
      <c r="WFH74" s="278" t="n"/>
      <c r="WFI74" s="278" t="n"/>
      <c r="WFJ74" s="278" t="n"/>
      <c r="WFK74" s="278" t="n"/>
      <c r="WFL74" s="278" t="n"/>
      <c r="WFM74" s="278" t="n"/>
      <c r="WFN74" s="278" t="n"/>
      <c r="WFO74" s="278" t="n"/>
      <c r="WFP74" s="278" t="n"/>
      <c r="WFQ74" s="278" t="n"/>
      <c r="WFR74" s="278" t="n"/>
      <c r="WFS74" s="278" t="n"/>
      <c r="WFT74" s="278" t="n"/>
      <c r="WFU74" s="278" t="n"/>
      <c r="WFV74" s="278" t="n"/>
      <c r="WFW74" s="278" t="n"/>
      <c r="WFX74" s="278" t="n"/>
      <c r="WFY74" s="278" t="n"/>
      <c r="WFZ74" s="278" t="n"/>
      <c r="WGA74" s="278" t="n"/>
      <c r="WGB74" s="278" t="n"/>
      <c r="WGC74" s="278" t="n"/>
      <c r="WGD74" s="278" t="n"/>
      <c r="WGE74" s="278" t="n"/>
      <c r="WGF74" s="278" t="n"/>
      <c r="WGG74" s="278" t="n"/>
      <c r="WGH74" s="278" t="n"/>
      <c r="WGI74" s="278" t="n"/>
      <c r="WGJ74" s="278" t="n"/>
      <c r="WGK74" s="278" t="n"/>
      <c r="WGL74" s="278" t="n"/>
      <c r="WGM74" s="278" t="n"/>
      <c r="WGN74" s="278" t="n"/>
      <c r="WGO74" s="278" t="n"/>
      <c r="WGP74" s="278" t="n"/>
      <c r="WGQ74" s="278" t="n"/>
      <c r="WGR74" s="278" t="n"/>
      <c r="WGS74" s="278" t="n"/>
      <c r="WGT74" s="278" t="n"/>
      <c r="WGU74" s="278" t="n"/>
      <c r="WGV74" s="278" t="n"/>
      <c r="WGW74" s="278" t="n"/>
      <c r="WGX74" s="278" t="n"/>
      <c r="WGY74" s="278" t="n"/>
      <c r="WGZ74" s="278" t="n"/>
      <c r="WHA74" s="278" t="n"/>
      <c r="WHB74" s="278" t="n"/>
      <c r="WHC74" s="278" t="n"/>
      <c r="WHD74" s="278" t="n"/>
      <c r="WHE74" s="278" t="n"/>
      <c r="WHF74" s="278" t="n"/>
      <c r="WHG74" s="278" t="n"/>
      <c r="WHH74" s="278" t="n"/>
      <c r="WHI74" s="278" t="n"/>
      <c r="WHJ74" s="278" t="n"/>
      <c r="WHK74" s="278" t="n"/>
      <c r="WHL74" s="278" t="n"/>
      <c r="WHM74" s="278" t="n"/>
      <c r="WHN74" s="278" t="n"/>
      <c r="WHO74" s="278" t="n"/>
      <c r="WHP74" s="278" t="n"/>
      <c r="WHQ74" s="278" t="n"/>
      <c r="WHR74" s="278" t="n"/>
      <c r="WHS74" s="278" t="n"/>
      <c r="WHT74" s="278" t="n"/>
      <c r="WHU74" s="278" t="n"/>
      <c r="WHV74" s="278" t="n"/>
      <c r="WHW74" s="278" t="n"/>
      <c r="WHX74" s="278" t="n"/>
      <c r="WHY74" s="278" t="n"/>
      <c r="WHZ74" s="278" t="n"/>
      <c r="WIA74" s="278" t="n"/>
      <c r="WIB74" s="278" t="n"/>
      <c r="WIC74" s="278" t="n"/>
      <c r="WID74" s="278" t="n"/>
      <c r="WIE74" s="278" t="n"/>
      <c r="WIF74" s="278" t="n"/>
      <c r="WIG74" s="278" t="n"/>
      <c r="WIH74" s="278" t="n"/>
      <c r="WII74" s="278" t="n"/>
      <c r="WIJ74" s="278" t="n"/>
      <c r="WIK74" s="278" t="n"/>
      <c r="WIL74" s="278" t="n"/>
      <c r="WIM74" s="278" t="n"/>
      <c r="WIN74" s="278" t="n"/>
      <c r="WIO74" s="278" t="n"/>
      <c r="WIP74" s="278" t="n"/>
      <c r="WIQ74" s="278" t="n"/>
      <c r="WIR74" s="278" t="n"/>
      <c r="WIS74" s="278" t="n"/>
      <c r="WIT74" s="278" t="n"/>
      <c r="WIU74" s="278" t="n"/>
      <c r="WIV74" s="278" t="n"/>
      <c r="WIW74" s="278" t="n"/>
      <c r="WIX74" s="278" t="n"/>
      <c r="WIY74" s="278" t="n"/>
      <c r="WIZ74" s="278" t="n"/>
      <c r="WJA74" s="278" t="n"/>
      <c r="WJB74" s="278" t="n"/>
      <c r="WJC74" s="278" t="n"/>
      <c r="WJD74" s="278" t="n"/>
      <c r="WJE74" s="278" t="n"/>
      <c r="WJF74" s="278" t="n"/>
      <c r="WJG74" s="278" t="n"/>
      <c r="WJH74" s="278" t="n"/>
      <c r="WJI74" s="278" t="n"/>
      <c r="WJJ74" s="278" t="n"/>
      <c r="WJK74" s="278" t="n"/>
      <c r="WJL74" s="278" t="n"/>
      <c r="WJM74" s="278" t="n"/>
      <c r="WJN74" s="278" t="n"/>
      <c r="WJO74" s="278" t="n"/>
      <c r="WJP74" s="278" t="n"/>
      <c r="WJQ74" s="278" t="n"/>
      <c r="WJR74" s="278" t="n"/>
      <c r="WJS74" s="278" t="n"/>
      <c r="WJT74" s="278" t="n"/>
      <c r="WJU74" s="278" t="n"/>
      <c r="WJV74" s="278" t="n"/>
      <c r="WJW74" s="278" t="n"/>
      <c r="WJX74" s="278" t="n"/>
      <c r="WJY74" s="278" t="n"/>
      <c r="WJZ74" s="278" t="n"/>
      <c r="WKA74" s="278" t="n"/>
      <c r="WKB74" s="278" t="n"/>
      <c r="WKC74" s="278" t="n"/>
      <c r="WKD74" s="278" t="n"/>
      <c r="WKE74" s="278" t="n"/>
      <c r="WKF74" s="278" t="n"/>
      <c r="WKG74" s="278" t="n"/>
      <c r="WKH74" s="278" t="n"/>
      <c r="WKI74" s="278" t="n"/>
      <c r="WKJ74" s="278" t="n"/>
      <c r="WKK74" s="278" t="n"/>
      <c r="WKL74" s="278" t="n"/>
      <c r="WKM74" s="278" t="n"/>
      <c r="WKN74" s="278" t="n"/>
      <c r="WKO74" s="278" t="n"/>
      <c r="WKP74" s="278" t="n"/>
      <c r="WKQ74" s="278" t="n"/>
      <c r="WKR74" s="278" t="n"/>
      <c r="WKS74" s="278" t="n"/>
      <c r="WKT74" s="278" t="n"/>
      <c r="WKU74" s="278" t="n"/>
      <c r="WKV74" s="278" t="n"/>
      <c r="WKW74" s="278" t="n"/>
      <c r="WKX74" s="278" t="n"/>
      <c r="WKY74" s="278" t="n"/>
      <c r="WKZ74" s="278" t="n"/>
      <c r="WLA74" s="278" t="n"/>
      <c r="WLB74" s="278" t="n"/>
      <c r="WLC74" s="278" t="n"/>
      <c r="WLD74" s="278" t="n"/>
      <c r="WLE74" s="278" t="n"/>
      <c r="WLF74" s="278" t="n"/>
      <c r="WLG74" s="278" t="n"/>
      <c r="WLH74" s="278" t="n"/>
      <c r="WLI74" s="278" t="n"/>
      <c r="WLJ74" s="278" t="n"/>
      <c r="WLK74" s="278" t="n"/>
      <c r="WLL74" s="278" t="n"/>
      <c r="WLM74" s="278" t="n"/>
      <c r="WLN74" s="278" t="n"/>
      <c r="WLO74" s="278" t="n"/>
      <c r="WLP74" s="278" t="n"/>
      <c r="WLQ74" s="278" t="n"/>
      <c r="WLR74" s="278" t="n"/>
      <c r="WLS74" s="278" t="n"/>
      <c r="WLT74" s="278" t="n"/>
      <c r="WLU74" s="278" t="n"/>
      <c r="WLV74" s="278" t="n"/>
      <c r="WLW74" s="278" t="n"/>
      <c r="WLX74" s="278" t="n"/>
      <c r="WLY74" s="278" t="n"/>
      <c r="WLZ74" s="278" t="n"/>
      <c r="WMA74" s="278" t="n"/>
      <c r="WMB74" s="278" t="n"/>
      <c r="WMC74" s="278" t="n"/>
      <c r="WMD74" s="278" t="n"/>
      <c r="WME74" s="278" t="n"/>
      <c r="WMF74" s="278" t="n"/>
      <c r="WMG74" s="278" t="n"/>
      <c r="WMH74" s="278" t="n"/>
      <c r="WMI74" s="278" t="n"/>
      <c r="WMJ74" s="278" t="n"/>
      <c r="WMK74" s="278" t="n"/>
      <c r="WML74" s="278" t="n"/>
      <c r="WMM74" s="278" t="n"/>
      <c r="WMN74" s="278" t="n"/>
      <c r="WMO74" s="278" t="n"/>
      <c r="WMP74" s="278" t="n"/>
      <c r="WMQ74" s="278" t="n"/>
      <c r="WMR74" s="278" t="n"/>
      <c r="WMS74" s="278" t="n"/>
      <c r="WMT74" s="278" t="n"/>
      <c r="WMU74" s="278" t="n"/>
      <c r="WMV74" s="278" t="n"/>
      <c r="WMW74" s="278" t="n"/>
      <c r="WMX74" s="278" t="n"/>
      <c r="WMY74" s="278" t="n"/>
      <c r="WMZ74" s="278" t="n"/>
      <c r="WNA74" s="278" t="n"/>
      <c r="WNB74" s="278" t="n"/>
      <c r="WNC74" s="278" t="n"/>
      <c r="WND74" s="278" t="n"/>
      <c r="WNE74" s="278" t="n"/>
      <c r="WNF74" s="278" t="n"/>
      <c r="WNG74" s="278" t="n"/>
      <c r="WNH74" s="278" t="n"/>
      <c r="WNI74" s="278" t="n"/>
      <c r="WNJ74" s="278" t="n"/>
      <c r="WNK74" s="278" t="n"/>
      <c r="WNL74" s="278" t="n"/>
      <c r="WNM74" s="278" t="n"/>
      <c r="WNN74" s="278" t="n"/>
      <c r="WNO74" s="278" t="n"/>
      <c r="WNP74" s="278" t="n"/>
      <c r="WNQ74" s="278" t="n"/>
      <c r="WNR74" s="278" t="n"/>
      <c r="WNS74" s="278" t="n"/>
      <c r="WNT74" s="278" t="n"/>
      <c r="WNU74" s="278" t="n"/>
      <c r="WNV74" s="278" t="n"/>
      <c r="WNW74" s="278" t="n"/>
      <c r="WNX74" s="278" t="n"/>
      <c r="WNY74" s="278" t="n"/>
      <c r="WNZ74" s="278" t="n"/>
      <c r="WOA74" s="278" t="n"/>
      <c r="WOB74" s="278" t="n"/>
      <c r="WOC74" s="278" t="n"/>
      <c r="WOD74" s="278" t="n"/>
      <c r="WOE74" s="278" t="n"/>
      <c r="WOF74" s="278" t="n"/>
      <c r="WOG74" s="278" t="n"/>
      <c r="WOH74" s="278" t="n"/>
      <c r="WOI74" s="278" t="n"/>
      <c r="WOJ74" s="278" t="n"/>
      <c r="WOK74" s="278" t="n"/>
      <c r="WOL74" s="278" t="n"/>
      <c r="WOM74" s="278" t="n"/>
      <c r="WON74" s="278" t="n"/>
      <c r="WOO74" s="278" t="n"/>
      <c r="WOP74" s="278" t="n"/>
      <c r="WOQ74" s="278" t="n"/>
      <c r="WOR74" s="278" t="n"/>
      <c r="WOS74" s="278" t="n"/>
      <c r="WOT74" s="278" t="n"/>
      <c r="WOU74" s="278" t="n"/>
      <c r="WOV74" s="278" t="n"/>
      <c r="WOW74" s="278" t="n"/>
      <c r="WOX74" s="278" t="n"/>
      <c r="WOY74" s="278" t="n"/>
      <c r="WOZ74" s="278" t="n"/>
      <c r="WPA74" s="278" t="n"/>
      <c r="WPB74" s="278" t="n"/>
      <c r="WPC74" s="278" t="n"/>
      <c r="WPD74" s="278" t="n"/>
      <c r="WPE74" s="278" t="n"/>
      <c r="WPF74" s="278" t="n"/>
      <c r="WPG74" s="278" t="n"/>
      <c r="WPH74" s="278" t="n"/>
      <c r="WPI74" s="278" t="n"/>
      <c r="WPJ74" s="278" t="n"/>
      <c r="WPK74" s="278" t="n"/>
      <c r="WPL74" s="278" t="n"/>
      <c r="WPM74" s="278" t="n"/>
      <c r="WPN74" s="278" t="n"/>
      <c r="WPO74" s="278" t="n"/>
      <c r="WPP74" s="278" t="n"/>
      <c r="WPQ74" s="278" t="n"/>
      <c r="WPR74" s="278" t="n"/>
      <c r="WPS74" s="278" t="n"/>
      <c r="WPT74" s="278" t="n"/>
      <c r="WPU74" s="278" t="n"/>
      <c r="WPV74" s="278" t="n"/>
      <c r="WPW74" s="278" t="n"/>
      <c r="WPX74" s="278" t="n"/>
      <c r="WPY74" s="278" t="n"/>
      <c r="WPZ74" s="278" t="n"/>
      <c r="WQA74" s="278" t="n"/>
      <c r="WQB74" s="278" t="n"/>
      <c r="WQC74" s="278" t="n"/>
      <c r="WQD74" s="278" t="n"/>
      <c r="WQE74" s="278" t="n"/>
      <c r="WQF74" s="278" t="n"/>
      <c r="WQG74" s="278" t="n"/>
      <c r="WQH74" s="278" t="n"/>
      <c r="WQI74" s="278" t="n"/>
      <c r="WQJ74" s="278" t="n"/>
      <c r="WQK74" s="278" t="n"/>
      <c r="WQL74" s="278" t="n"/>
      <c r="WQM74" s="278" t="n"/>
      <c r="WQN74" s="278" t="n"/>
      <c r="WQO74" s="278" t="n"/>
      <c r="WQP74" s="278" t="n"/>
      <c r="WQQ74" s="278" t="n"/>
      <c r="WQR74" s="278" t="n"/>
      <c r="WQS74" s="278" t="n"/>
      <c r="WQT74" s="278" t="n"/>
      <c r="WQU74" s="278" t="n"/>
      <c r="WQV74" s="278" t="n"/>
      <c r="WQW74" s="278" t="n"/>
      <c r="WQX74" s="278" t="n"/>
      <c r="WQY74" s="278" t="n"/>
      <c r="WQZ74" s="278" t="n"/>
      <c r="WRA74" s="278" t="n"/>
      <c r="WRB74" s="278" t="n"/>
      <c r="WRC74" s="278" t="n"/>
      <c r="WRD74" s="278" t="n"/>
      <c r="WRE74" s="278" t="n"/>
      <c r="WRF74" s="278" t="n"/>
      <c r="WRG74" s="278" t="n"/>
      <c r="WRH74" s="278" t="n"/>
      <c r="WRI74" s="278" t="n"/>
      <c r="WRJ74" s="278" t="n"/>
      <c r="WRK74" s="278" t="n"/>
      <c r="WRL74" s="278" t="n"/>
      <c r="WRM74" s="278" t="n"/>
      <c r="WRN74" s="278" t="n"/>
      <c r="WRO74" s="278" t="n"/>
      <c r="WRP74" s="278" t="n"/>
      <c r="WRQ74" s="278" t="n"/>
      <c r="WRR74" s="278" t="n"/>
      <c r="WRS74" s="278" t="n"/>
      <c r="WRT74" s="278" t="n"/>
      <c r="WRU74" s="278" t="n"/>
      <c r="WRV74" s="278" t="n"/>
      <c r="WRW74" s="278" t="n"/>
      <c r="WRX74" s="278" t="n"/>
      <c r="WRY74" s="278" t="n"/>
      <c r="WRZ74" s="278" t="n"/>
      <c r="WSA74" s="278" t="n"/>
      <c r="WSB74" s="278" t="n"/>
      <c r="WSC74" s="278" t="n"/>
      <c r="WSD74" s="278" t="n"/>
      <c r="WSE74" s="278" t="n"/>
      <c r="WSF74" s="278" t="n"/>
      <c r="WSG74" s="278" t="n"/>
      <c r="WSH74" s="278" t="n"/>
      <c r="WSI74" s="278" t="n"/>
      <c r="WSJ74" s="278" t="n"/>
      <c r="WSK74" s="278" t="n"/>
      <c r="WSL74" s="278" t="n"/>
      <c r="WSM74" s="278" t="n"/>
      <c r="WSN74" s="278" t="n"/>
      <c r="WSO74" s="278" t="n"/>
      <c r="WSP74" s="278" t="n"/>
      <c r="WSQ74" s="278" t="n"/>
      <c r="WSR74" s="278" t="n"/>
      <c r="WSS74" s="278" t="n"/>
      <c r="WST74" s="278" t="n"/>
      <c r="WSU74" s="278" t="n"/>
      <c r="WSV74" s="278" t="n"/>
      <c r="WSW74" s="278" t="n"/>
      <c r="WSX74" s="278" t="n"/>
      <c r="WSY74" s="278" t="n"/>
      <c r="WSZ74" s="278" t="n"/>
      <c r="WTA74" s="278" t="n"/>
      <c r="WTB74" s="278" t="n"/>
      <c r="WTC74" s="278" t="n"/>
      <c r="WTD74" s="278" t="n"/>
      <c r="WTE74" s="278" t="n"/>
      <c r="WTF74" s="278" t="n"/>
      <c r="WTG74" s="278" t="n"/>
      <c r="WTH74" s="278" t="n"/>
      <c r="WTI74" s="278" t="n"/>
      <c r="WTJ74" s="278" t="n"/>
      <c r="WTK74" s="278" t="n"/>
      <c r="WTL74" s="278" t="n"/>
      <c r="WTM74" s="278" t="n"/>
      <c r="WTN74" s="278" t="n"/>
      <c r="WTO74" s="278" t="n"/>
      <c r="WTP74" s="278" t="n"/>
      <c r="WTQ74" s="278" t="n"/>
      <c r="WTR74" s="278" t="n"/>
      <c r="WTS74" s="278" t="n"/>
      <c r="WTT74" s="278" t="n"/>
      <c r="WTU74" s="278" t="n"/>
      <c r="WTV74" s="278" t="n"/>
      <c r="WTW74" s="278" t="n"/>
      <c r="WTX74" s="278" t="n"/>
      <c r="WTY74" s="278" t="n"/>
      <c r="WTZ74" s="278" t="n"/>
      <c r="WUA74" s="278" t="n"/>
      <c r="WUB74" s="278" t="n"/>
      <c r="WUC74" s="278" t="n"/>
      <c r="WUD74" s="278" t="n"/>
      <c r="WUE74" s="278" t="n"/>
      <c r="WUF74" s="278" t="n"/>
      <c r="WUG74" s="278" t="n"/>
      <c r="WUH74" s="278" t="n"/>
      <c r="WUI74" s="278" t="n"/>
      <c r="WUJ74" s="278" t="n"/>
      <c r="WUK74" s="278" t="n"/>
      <c r="WUL74" s="278" t="n"/>
      <c r="WUM74" s="278" t="n"/>
      <c r="WUN74" s="278" t="n"/>
      <c r="WUO74" s="278" t="n"/>
      <c r="WUP74" s="278" t="n"/>
      <c r="WUQ74" s="278" t="n"/>
      <c r="WUR74" s="278" t="n"/>
      <c r="WUS74" s="278" t="n"/>
      <c r="WUT74" s="278" t="n"/>
      <c r="WUU74" s="278" t="n"/>
      <c r="WUV74" s="278" t="n"/>
      <c r="WUW74" s="278" t="n"/>
      <c r="WUX74" s="278" t="n"/>
      <c r="WUY74" s="278" t="n"/>
      <c r="WUZ74" s="278" t="n"/>
      <c r="WVA74" s="278" t="n"/>
      <c r="WVB74" s="278" t="n"/>
      <c r="WVC74" s="278" t="n"/>
      <c r="WVD74" s="278" t="n"/>
      <c r="WVE74" s="278" t="n"/>
      <c r="WVF74" s="278" t="n"/>
      <c r="WVG74" s="278" t="n"/>
      <c r="WVH74" s="278" t="n"/>
      <c r="WVI74" s="278" t="n"/>
      <c r="WVJ74" s="278" t="n"/>
      <c r="WVK74" s="278" t="n"/>
      <c r="WVL74" s="278" t="n"/>
      <c r="WVM74" s="278" t="n"/>
      <c r="WVN74" s="278" t="n"/>
      <c r="WVO74" s="278" t="n"/>
      <c r="WVP74" s="278" t="n"/>
      <c r="WVQ74" s="278" t="n"/>
      <c r="WVR74" s="278" t="n"/>
      <c r="WVS74" s="278" t="n"/>
      <c r="WVT74" s="278" t="n"/>
      <c r="WVU74" s="278" t="n"/>
      <c r="WVV74" s="278" t="n"/>
      <c r="WVW74" s="278" t="n"/>
      <c r="WVX74" s="278" t="n"/>
      <c r="WVY74" s="278" t="n"/>
      <c r="WVZ74" s="278" t="n"/>
      <c r="WWA74" s="278" t="n"/>
      <c r="WWB74" s="278" t="n"/>
      <c r="WWC74" s="278" t="n"/>
      <c r="WWD74" s="278" t="n"/>
      <c r="WWE74" s="278" t="n"/>
      <c r="WWF74" s="278" t="n"/>
      <c r="WWG74" s="278" t="n"/>
      <c r="WWH74" s="278" t="n"/>
      <c r="WWI74" s="278" t="n"/>
      <c r="WWJ74" s="278" t="n"/>
      <c r="WWK74" s="278" t="n"/>
      <c r="WWL74" s="278" t="n"/>
      <c r="WWM74" s="278" t="n"/>
      <c r="WWN74" s="278" t="n"/>
      <c r="WWO74" s="278" t="n"/>
      <c r="WWP74" s="278" t="n"/>
      <c r="WWQ74" s="278" t="n"/>
      <c r="WWR74" s="278" t="n"/>
      <c r="WWS74" s="278" t="n"/>
      <c r="WWT74" s="278" t="n"/>
      <c r="WWU74" s="278" t="n"/>
      <c r="WWV74" s="278" t="n"/>
      <c r="WWW74" s="278" t="n"/>
      <c r="WWX74" s="278" t="n"/>
      <c r="WWY74" s="278" t="n"/>
      <c r="WWZ74" s="278" t="n"/>
      <c r="WXA74" s="278" t="n"/>
      <c r="WXB74" s="278" t="n"/>
      <c r="WXC74" s="278" t="n"/>
      <c r="WXD74" s="278" t="n"/>
      <c r="WXE74" s="278" t="n"/>
      <c r="WXF74" s="278" t="n"/>
      <c r="WXG74" s="278" t="n"/>
      <c r="WXH74" s="278" t="n"/>
      <c r="WXI74" s="278" t="n"/>
      <c r="WXJ74" s="278" t="n"/>
      <c r="WXK74" s="278" t="n"/>
      <c r="WXL74" s="278" t="n"/>
      <c r="WXM74" s="278" t="n"/>
      <c r="WXN74" s="278" t="n"/>
      <c r="WXO74" s="278" t="n"/>
      <c r="WXP74" s="278" t="n"/>
      <c r="WXQ74" s="278" t="n"/>
      <c r="WXR74" s="278" t="n"/>
      <c r="WXS74" s="278" t="n"/>
      <c r="WXT74" s="278" t="n"/>
      <c r="WXU74" s="278" t="n"/>
      <c r="WXV74" s="278" t="n"/>
      <c r="WXW74" s="278" t="n"/>
      <c r="WXX74" s="278" t="n"/>
      <c r="WXY74" s="278" t="n"/>
      <c r="WXZ74" s="278" t="n"/>
      <c r="WYA74" s="278" t="n"/>
      <c r="WYB74" s="278" t="n"/>
      <c r="WYC74" s="278" t="n"/>
      <c r="WYD74" s="278" t="n"/>
      <c r="WYE74" s="278" t="n"/>
      <c r="WYF74" s="278" t="n"/>
      <c r="WYG74" s="278" t="n"/>
      <c r="WYH74" s="278" t="n"/>
      <c r="WYI74" s="278" t="n"/>
      <c r="WYJ74" s="278" t="n"/>
      <c r="WYK74" s="278" t="n"/>
      <c r="WYL74" s="278" t="n"/>
      <c r="WYM74" s="278" t="n"/>
      <c r="WYN74" s="278" t="n"/>
      <c r="WYO74" s="278" t="n"/>
      <c r="WYP74" s="278" t="n"/>
      <c r="WYQ74" s="278" t="n"/>
      <c r="WYR74" s="278" t="n"/>
      <c r="WYS74" s="278" t="n"/>
      <c r="WYT74" s="278" t="n"/>
      <c r="WYU74" s="278" t="n"/>
      <c r="WYV74" s="278" t="n"/>
      <c r="WYW74" s="278" t="n"/>
      <c r="WYX74" s="278" t="n"/>
      <c r="WYY74" s="278" t="n"/>
      <c r="WYZ74" s="278" t="n"/>
      <c r="WZA74" s="278" t="n"/>
      <c r="WZB74" s="278" t="n"/>
      <c r="WZC74" s="278" t="n"/>
      <c r="WZD74" s="278" t="n"/>
      <c r="WZE74" s="278" t="n"/>
      <c r="WZF74" s="278" t="n"/>
      <c r="WZG74" s="278" t="n"/>
      <c r="WZH74" s="278" t="n"/>
      <c r="WZI74" s="278" t="n"/>
      <c r="WZJ74" s="278" t="n"/>
      <c r="WZK74" s="278" t="n"/>
      <c r="WZL74" s="278" t="n"/>
      <c r="WZM74" s="278" t="n"/>
      <c r="WZN74" s="278" t="n"/>
      <c r="WZO74" s="278" t="n"/>
      <c r="WZP74" s="278" t="n"/>
      <c r="WZQ74" s="278" t="n"/>
      <c r="WZR74" s="278" t="n"/>
      <c r="WZS74" s="278" t="n"/>
      <c r="WZT74" s="278" t="n"/>
      <c r="WZU74" s="278" t="n"/>
      <c r="WZV74" s="278" t="n"/>
      <c r="WZW74" s="278" t="n"/>
      <c r="WZX74" s="278" t="n"/>
      <c r="WZY74" s="278" t="n"/>
      <c r="WZZ74" s="278" t="n"/>
      <c r="XAA74" s="278" t="n"/>
      <c r="XAB74" s="278" t="n"/>
      <c r="XAC74" s="278" t="n"/>
      <c r="XAD74" s="278" t="n"/>
      <c r="XAE74" s="278" t="n"/>
      <c r="XAF74" s="278" t="n"/>
      <c r="XAG74" s="278" t="n"/>
      <c r="XAH74" s="278" t="n"/>
      <c r="XAI74" s="278" t="n"/>
      <c r="XAJ74" s="278" t="n"/>
      <c r="XAK74" s="278" t="n"/>
      <c r="XAL74" s="278" t="n"/>
      <c r="XAM74" s="278" t="n"/>
      <c r="XAN74" s="278" t="n"/>
      <c r="XAO74" s="278" t="n"/>
      <c r="XAP74" s="278" t="n"/>
      <c r="XAQ74" s="278" t="n"/>
      <c r="XAR74" s="278" t="n"/>
      <c r="XAS74" s="278" t="n"/>
      <c r="XAT74" s="278" t="n"/>
      <c r="XAU74" s="278" t="n"/>
      <c r="XAV74" s="278" t="n"/>
      <c r="XAW74" s="278" t="n"/>
      <c r="XAX74" s="278" t="n"/>
      <c r="XAY74" s="278" t="n"/>
      <c r="XAZ74" s="278" t="n"/>
      <c r="XBA74" s="278" t="n"/>
      <c r="XBB74" s="278" t="n"/>
      <c r="XBC74" s="278" t="n"/>
      <c r="XBD74" s="278" t="n"/>
      <c r="XBE74" s="278" t="n"/>
      <c r="XBF74" s="278" t="n"/>
      <c r="XBG74" s="278" t="n"/>
      <c r="XBH74" s="278" t="n"/>
      <c r="XBI74" s="278" t="n"/>
      <c r="XBJ74" s="278" t="n"/>
      <c r="XBK74" s="278" t="n"/>
      <c r="XBL74" s="278" t="n"/>
      <c r="XBM74" s="278" t="n"/>
      <c r="XBN74" s="278" t="n"/>
      <c r="XBO74" s="278" t="n"/>
      <c r="XBP74" s="278" t="n"/>
      <c r="XBQ74" s="278" t="n"/>
      <c r="XBR74" s="278" t="n"/>
      <c r="XBS74" s="278" t="n"/>
      <c r="XBT74" s="278" t="n"/>
      <c r="XBU74" s="278" t="n"/>
      <c r="XBV74" s="278" t="n"/>
      <c r="XBW74" s="278" t="n"/>
      <c r="XBX74" s="278" t="n"/>
      <c r="XBY74" s="278" t="n"/>
      <c r="XBZ74" s="278" t="n"/>
      <c r="XCA74" s="278" t="n"/>
      <c r="XCB74" s="278" t="n"/>
      <c r="XCC74" s="278" t="n"/>
      <c r="XCD74" s="278" t="n"/>
      <c r="XCE74" s="278" t="n"/>
      <c r="XCF74" s="278" t="n"/>
      <c r="XCG74" s="278" t="n"/>
      <c r="XCH74" s="278" t="n"/>
      <c r="XCI74" s="278" t="n"/>
      <c r="XCJ74" s="278" t="n"/>
      <c r="XCK74" s="278" t="n"/>
      <c r="XCL74" s="278" t="n"/>
      <c r="XCM74" s="278" t="n"/>
      <c r="XCN74" s="278" t="n"/>
      <c r="XCO74" s="278" t="n"/>
      <c r="XCP74" s="278" t="n"/>
      <c r="XCQ74" s="278" t="n"/>
      <c r="XCR74" s="278" t="n"/>
      <c r="XCS74" s="278" t="n"/>
      <c r="XCT74" s="278" t="n"/>
      <c r="XCU74" s="278" t="n"/>
      <c r="XCV74" s="278" t="n"/>
      <c r="XCW74" s="278" t="n"/>
      <c r="XCX74" s="278" t="n"/>
      <c r="XCY74" s="278" t="n"/>
      <c r="XCZ74" s="278" t="n"/>
      <c r="XDA74" s="278" t="n"/>
      <c r="XDB74" s="278" t="n"/>
      <c r="XDC74" s="278" t="n"/>
      <c r="XDD74" s="278" t="n"/>
      <c r="XDE74" s="278" t="n"/>
      <c r="XDF74" s="278" t="n"/>
      <c r="XDG74" s="278" t="n"/>
      <c r="XDH74" s="278" t="n"/>
      <c r="XDI74" s="278" t="n"/>
      <c r="XDJ74" s="278" t="n"/>
      <c r="XDK74" s="278" t="n"/>
      <c r="XDL74" s="278" t="n"/>
      <c r="XDM74" s="278" t="n"/>
      <c r="XDN74" s="278" t="n"/>
      <c r="XDO74" s="278" t="n"/>
      <c r="XDP74" s="278" t="n"/>
      <c r="XDQ74" s="278" t="n"/>
      <c r="XDR74" s="278" t="n"/>
      <c r="XDS74" s="278" t="n"/>
      <c r="XDT74" s="278" t="n"/>
      <c r="XDU74" s="278" t="n"/>
      <c r="XDV74" s="278" t="n"/>
      <c r="XDW74" s="278" t="n"/>
      <c r="XDX74" s="278" t="n"/>
      <c r="XDY74" s="278" t="n"/>
      <c r="XDZ74" s="278" t="n"/>
      <c r="XEA74" s="278" t="n"/>
      <c r="XEB74" s="278" t="n"/>
      <c r="XEC74" s="278" t="n"/>
      <c r="XED74" s="278" t="n"/>
      <c r="XEE74" s="278" t="n"/>
      <c r="XEF74" s="278" t="n"/>
      <c r="XEG74" s="278" t="n"/>
      <c r="XEH74" s="278" t="n"/>
      <c r="XEI74" s="278" t="n"/>
      <c r="XEJ74" s="278" t="n"/>
      <c r="XEK74" s="278" t="n"/>
      <c r="XEL74" s="278" t="n"/>
      <c r="XEM74" s="278" t="n"/>
      <c r="XEN74" s="278" t="n"/>
      <c r="XEO74" s="278" t="n"/>
      <c r="XEP74" s="278" t="n"/>
      <c r="XEQ74" s="278" t="n"/>
      <c r="XER74" s="278" t="n"/>
      <c r="XES74" s="278" t="n"/>
      <c r="XET74" s="278" t="n"/>
      <c r="XEU74" s="278" t="n"/>
      <c r="XEV74" s="278" t="n"/>
      <c r="XEW74" s="278" t="n"/>
      <c r="XEX74" s="278" t="n"/>
      <c r="XEY74" s="278" t="n"/>
      <c r="XEZ74" s="278" t="n"/>
      <c r="XFA74" s="278" t="n"/>
      <c r="XFB74" s="278" t="n"/>
      <c r="XFC74" s="278" t="n"/>
      <c r="XFD74" s="278" t="n"/>
    </row>
    <row r="75" ht="15.75" customFormat="1" customHeight="1" s="278">
      <c r="A75" s="394" t="n"/>
      <c r="B75" s="394" t="inlineStr">
        <is>
          <t>https://codeforces.com/group/Rilx5irOux/contest/537870/problem/J</t>
        </is>
      </c>
      <c r="C75" s="366" t="inlineStr">
        <is>
          <t>AC</t>
        </is>
      </c>
      <c r="D75" s="366" t="n">
        <v>1</v>
      </c>
      <c r="E75" s="366" t="n">
        <v>1</v>
      </c>
      <c r="F75" s="366" t="n">
        <v>2</v>
      </c>
      <c r="G75" s="366" t="n">
        <v>10</v>
      </c>
      <c r="H75" s="366" t="n">
        <v>0</v>
      </c>
      <c r="I75" s="366" t="n">
        <v>13</v>
      </c>
      <c r="J75" s="395" t="n">
        <v>4</v>
      </c>
      <c r="K75" s="366" t="inlineStr">
        <is>
          <t>yes</t>
        </is>
      </c>
      <c r="L75" s="395" t="inlineStr">
        <is>
          <t>MATH,ss</t>
        </is>
      </c>
      <c r="M75" s="362" t="inlineStr">
        <is>
          <t>test</t>
        </is>
      </c>
      <c r="N75" s="394" t="n"/>
      <c r="O75" s="394" t="n"/>
      <c r="P75" s="394" t="n"/>
      <c r="Q75" s="394" t="n"/>
      <c r="R75" s="394" t="n"/>
      <c r="S75" s="394" t="n"/>
      <c r="T75" s="394" t="n"/>
    </row>
    <row r="76" ht="15.75" customFormat="1" customHeight="1" s="278">
      <c r="A76" s="394" t="n"/>
      <c r="B76" s="394" t="inlineStr">
        <is>
          <t>https://codeforces.com/group/Rilx5irOux/contest/537870/problem/J</t>
        </is>
      </c>
      <c r="C76" s="366" t="inlineStr">
        <is>
          <t>AC</t>
        </is>
      </c>
      <c r="D76" s="366" t="n">
        <v>1</v>
      </c>
      <c r="E76" s="366" t="n">
        <v>1</v>
      </c>
      <c r="F76" s="366" t="n">
        <v>2</v>
      </c>
      <c r="G76" s="366" t="n">
        <v>10</v>
      </c>
      <c r="H76" s="366" t="n">
        <v>0</v>
      </c>
      <c r="I76" s="366" t="n">
        <v>13</v>
      </c>
      <c r="J76" s="395" t="n">
        <v>4</v>
      </c>
      <c r="K76" s="366" t="inlineStr">
        <is>
          <t>yes</t>
        </is>
      </c>
      <c r="L76" s="395" t="inlineStr">
        <is>
          <t>MATH,ss</t>
        </is>
      </c>
      <c r="M76" s="362" t="inlineStr">
        <is>
          <t>test</t>
        </is>
      </c>
      <c r="N76" s="394" t="n"/>
      <c r="O76" s="394" t="n"/>
      <c r="P76" s="394" t="n"/>
      <c r="Q76" s="394" t="n"/>
      <c r="R76" s="394" t="n"/>
      <c r="S76" s="394" t="n"/>
      <c r="T76" s="394" t="n"/>
    </row>
    <row r="77" ht="15.75" customFormat="1" customHeight="1" s="278">
      <c r="A77" s="394" t="inlineStr"/>
      <c r="B77" s="394" t="inlineStr">
        <is>
          <t>https://codeforces.com/group/Rilx5irOux/contest/537870/problem/J</t>
        </is>
      </c>
      <c r="C77" s="366" t="inlineStr">
        <is>
          <t>AC</t>
        </is>
      </c>
      <c r="D77" s="366" t="n">
        <v>1</v>
      </c>
      <c r="E77" s="366" t="n">
        <v>1</v>
      </c>
      <c r="F77" s="366" t="n">
        <v>2</v>
      </c>
      <c r="G77" s="366" t="n">
        <v>10</v>
      </c>
      <c r="H77" s="366" t="n">
        <v>0</v>
      </c>
      <c r="I77" s="366" t="n">
        <v>13</v>
      </c>
      <c r="J77" s="395" t="n">
        <v>4.2</v>
      </c>
      <c r="K77" s="366" t="inlineStr">
        <is>
          <t>yes</t>
        </is>
      </c>
      <c r="L77" s="395" t="inlineStr"/>
      <c r="M77" s="362" t="inlineStr">
        <is>
          <t>test</t>
        </is>
      </c>
      <c r="N77" s="394" t="n"/>
      <c r="O77" s="394" t="n"/>
      <c r="P77" s="394" t="n"/>
      <c r="Q77" s="394" t="n"/>
      <c r="R77" s="394" t="n"/>
      <c r="S77" s="394" t="n"/>
      <c r="T77" s="394" t="n"/>
    </row>
    <row r="78" ht="15.75" customFormat="1" customHeight="1" s="278">
      <c r="A78" s="394" t="inlineStr"/>
      <c r="B78" s="394" t="inlineStr">
        <is>
          <t>https://codeforces.com/group/Rilx5irOux/contest/537870/problem/J</t>
        </is>
      </c>
      <c r="C78" s="366" t="inlineStr">
        <is>
          <t>AC</t>
        </is>
      </c>
      <c r="D78" s="366" t="n">
        <v>1</v>
      </c>
      <c r="E78" s="366" t="n">
        <v>1</v>
      </c>
      <c r="F78" s="366" t="n">
        <v>2</v>
      </c>
      <c r="G78" s="366" t="n">
        <v>10</v>
      </c>
      <c r="H78" s="366" t="n">
        <v>0</v>
      </c>
      <c r="I78" s="366" t="n">
        <v>13</v>
      </c>
      <c r="J78" s="395" t="n">
        <v>4.2</v>
      </c>
      <c r="K78" s="366" t="inlineStr">
        <is>
          <t>yes</t>
        </is>
      </c>
      <c r="L78" s="395" t="inlineStr">
        <is>
          <t>MATH,ss</t>
        </is>
      </c>
      <c r="M78" s="362" t="inlineStr">
        <is>
          <t>test</t>
        </is>
      </c>
      <c r="N78" s="394" t="inlineStr"/>
      <c r="O78" s="394" t="inlineStr"/>
      <c r="P78" s="394" t="inlineStr"/>
      <c r="Q78" s="394" t="inlineStr"/>
      <c r="R78" s="394" t="inlineStr"/>
      <c r="S78" s="394" t="inlineStr"/>
      <c r="T78" s="394" t="inlineStr"/>
      <c r="U78" s="278" t="inlineStr"/>
      <c r="V78" s="278" t="inlineStr"/>
      <c r="W78" s="278" t="inlineStr"/>
      <c r="X78" s="278" t="inlineStr"/>
      <c r="Y78" s="278" t="inlineStr"/>
      <c r="Z78" s="278" t="inlineStr"/>
      <c r="AA78" s="278" t="inlineStr"/>
      <c r="AB78" s="278" t="inlineStr"/>
      <c r="AC78" s="278" t="inlineStr"/>
      <c r="AD78" s="278" t="inlineStr"/>
      <c r="AE78" s="278" t="inlineStr"/>
      <c r="AF78" s="278" t="inlineStr"/>
      <c r="AG78" s="278" t="inlineStr"/>
      <c r="AH78" s="278" t="inlineStr"/>
      <c r="AI78" s="278" t="inlineStr"/>
      <c r="AJ78" s="278" t="inlineStr"/>
      <c r="AK78" s="278" t="inlineStr"/>
      <c r="AL78" s="278" t="inlineStr"/>
      <c r="AM78" s="278" t="inlineStr"/>
      <c r="AN78" s="278" t="inlineStr"/>
      <c r="AO78" s="278" t="inlineStr"/>
      <c r="AP78" s="278" t="inlineStr"/>
      <c r="AQ78" s="278" t="inlineStr"/>
      <c r="AR78" s="278" t="inlineStr"/>
      <c r="AS78" s="278" t="inlineStr"/>
      <c r="AT78" s="278" t="inlineStr"/>
      <c r="AU78" s="278" t="inlineStr"/>
      <c r="AV78" s="278" t="inlineStr"/>
      <c r="AW78" s="278" t="inlineStr"/>
      <c r="AX78" s="278" t="inlineStr"/>
      <c r="AY78" s="278" t="inlineStr"/>
      <c r="AZ78" s="278" t="inlineStr"/>
      <c r="BA78" s="278" t="inlineStr"/>
      <c r="BB78" s="278" t="inlineStr"/>
      <c r="BC78" s="278" t="inlineStr"/>
      <c r="BD78" s="278" t="inlineStr"/>
      <c r="BE78" s="278" t="inlineStr"/>
      <c r="BF78" s="278" t="inlineStr"/>
      <c r="BG78" s="278" t="inlineStr"/>
      <c r="BH78" s="278" t="inlineStr"/>
      <c r="BI78" s="278" t="inlineStr"/>
      <c r="BJ78" s="278" t="inlineStr"/>
      <c r="BK78" s="278" t="inlineStr"/>
      <c r="BL78" s="278" t="inlineStr"/>
      <c r="BM78" s="278" t="inlineStr"/>
      <c r="BN78" s="278" t="inlineStr"/>
      <c r="BO78" s="278" t="inlineStr"/>
      <c r="BP78" s="278" t="inlineStr"/>
      <c r="BQ78" s="278" t="inlineStr"/>
      <c r="BR78" s="278" t="inlineStr"/>
      <c r="BS78" s="278" t="inlineStr"/>
      <c r="BT78" s="278" t="inlineStr"/>
      <c r="BU78" s="278" t="inlineStr"/>
      <c r="BV78" s="278" t="inlineStr"/>
      <c r="BW78" s="278" t="inlineStr"/>
      <c r="BX78" s="278" t="inlineStr"/>
      <c r="BY78" s="278" t="inlineStr"/>
      <c r="BZ78" s="278" t="inlineStr"/>
      <c r="CA78" s="278" t="inlineStr"/>
      <c r="CB78" s="278" t="inlineStr"/>
      <c r="CC78" s="278" t="inlineStr"/>
      <c r="CD78" s="278" t="inlineStr"/>
      <c r="CE78" s="278" t="inlineStr"/>
      <c r="CF78" s="278" t="inlineStr"/>
      <c r="CG78" s="278" t="inlineStr"/>
      <c r="CH78" s="278" t="inlineStr"/>
      <c r="CI78" s="278" t="inlineStr"/>
      <c r="CJ78" s="278" t="inlineStr"/>
      <c r="CK78" s="278" t="inlineStr"/>
      <c r="CL78" s="278" t="inlineStr"/>
      <c r="CM78" s="278" t="inlineStr"/>
      <c r="CN78" s="278" t="inlineStr"/>
      <c r="CO78" s="278" t="inlineStr"/>
      <c r="CP78" s="278" t="inlineStr"/>
      <c r="CQ78" s="278" t="inlineStr"/>
      <c r="CR78" s="278" t="inlineStr"/>
      <c r="CS78" s="278" t="inlineStr"/>
      <c r="CT78" s="278" t="inlineStr"/>
      <c r="CU78" s="278" t="inlineStr"/>
      <c r="CV78" s="278" t="inlineStr"/>
      <c r="CW78" s="278" t="inlineStr"/>
      <c r="CX78" s="278" t="inlineStr"/>
      <c r="CY78" s="278" t="inlineStr"/>
      <c r="CZ78" s="278" t="inlineStr"/>
      <c r="DA78" s="278" t="inlineStr"/>
      <c r="DB78" s="278" t="inlineStr"/>
      <c r="DC78" s="278" t="inlineStr"/>
      <c r="DD78" s="278" t="inlineStr"/>
      <c r="DE78" s="278" t="inlineStr"/>
      <c r="DF78" s="278" t="inlineStr"/>
      <c r="DG78" s="278" t="inlineStr"/>
      <c r="DH78" s="278" t="inlineStr"/>
      <c r="DI78" s="278" t="inlineStr"/>
      <c r="DJ78" s="278" t="inlineStr"/>
      <c r="DK78" s="278" t="inlineStr"/>
      <c r="DL78" s="278" t="inlineStr"/>
      <c r="DM78" s="278" t="inlineStr"/>
      <c r="DN78" s="278" t="inlineStr"/>
      <c r="DO78" s="278" t="inlineStr"/>
      <c r="DP78" s="278" t="inlineStr"/>
      <c r="DQ78" s="278" t="inlineStr"/>
      <c r="DR78" s="278" t="inlineStr"/>
      <c r="DS78" s="278" t="inlineStr"/>
      <c r="DT78" s="278" t="inlineStr"/>
      <c r="DU78" s="278" t="inlineStr"/>
      <c r="DV78" s="278" t="inlineStr"/>
      <c r="DW78" s="278" t="inlineStr"/>
      <c r="DX78" s="278" t="inlineStr"/>
      <c r="DY78" s="278" t="inlineStr"/>
      <c r="DZ78" s="278" t="inlineStr"/>
      <c r="EA78" s="278" t="inlineStr"/>
      <c r="EB78" s="278" t="inlineStr"/>
      <c r="EC78" s="278" t="inlineStr"/>
      <c r="ED78" s="278" t="inlineStr"/>
      <c r="EE78" s="278" t="inlineStr"/>
      <c r="EF78" s="278" t="inlineStr"/>
      <c r="EG78" s="278" t="inlineStr"/>
      <c r="EH78" s="278" t="inlineStr"/>
      <c r="EI78" s="278" t="inlineStr"/>
      <c r="EJ78" s="278" t="inlineStr"/>
      <c r="EK78" s="278" t="inlineStr"/>
      <c r="EL78" s="278" t="inlineStr"/>
      <c r="EM78" s="278" t="inlineStr"/>
      <c r="EN78" s="278" t="inlineStr"/>
      <c r="EO78" s="278" t="inlineStr"/>
      <c r="EP78" s="278" t="inlineStr"/>
      <c r="EQ78" s="278" t="inlineStr"/>
      <c r="ER78" s="278" t="inlineStr"/>
      <c r="ES78" s="278" t="inlineStr"/>
      <c r="ET78" s="278" t="inlineStr"/>
      <c r="EU78" s="278" t="inlineStr"/>
      <c r="EV78" s="278" t="inlineStr"/>
      <c r="EW78" s="278" t="inlineStr"/>
      <c r="EX78" s="278" t="inlineStr"/>
      <c r="EY78" s="278" t="inlineStr"/>
      <c r="EZ78" s="278" t="inlineStr"/>
      <c r="FA78" s="278" t="inlineStr"/>
      <c r="FB78" s="278" t="inlineStr"/>
      <c r="FC78" s="278" t="inlineStr"/>
      <c r="FD78" s="278" t="inlineStr"/>
      <c r="FE78" s="278" t="inlineStr"/>
      <c r="FF78" s="278" t="inlineStr"/>
      <c r="FG78" s="278" t="inlineStr"/>
      <c r="FH78" s="278" t="inlineStr"/>
      <c r="FI78" s="278" t="inlineStr"/>
      <c r="FJ78" s="278" t="inlineStr"/>
      <c r="FK78" s="278" t="inlineStr"/>
      <c r="FL78" s="278" t="inlineStr"/>
      <c r="FM78" s="278" t="inlineStr"/>
      <c r="FN78" s="278" t="inlineStr"/>
      <c r="FO78" s="278" t="inlineStr"/>
      <c r="FP78" s="278" t="inlineStr"/>
      <c r="FQ78" s="278" t="inlineStr"/>
      <c r="FR78" s="278" t="inlineStr"/>
      <c r="FS78" s="278" t="inlineStr"/>
      <c r="FT78" s="278" t="inlineStr"/>
      <c r="FU78" s="278" t="inlineStr"/>
      <c r="FV78" s="278" t="inlineStr"/>
      <c r="FW78" s="278" t="inlineStr"/>
      <c r="FX78" s="278" t="inlineStr"/>
      <c r="FY78" s="278" t="inlineStr"/>
      <c r="FZ78" s="278" t="inlineStr"/>
      <c r="GA78" s="278" t="inlineStr"/>
      <c r="GB78" s="278" t="inlineStr"/>
      <c r="GC78" s="278" t="inlineStr"/>
      <c r="GD78" s="278" t="inlineStr"/>
      <c r="GE78" s="278" t="inlineStr"/>
      <c r="GF78" s="278" t="inlineStr"/>
      <c r="GG78" s="278" t="inlineStr"/>
      <c r="GH78" s="278" t="inlineStr"/>
      <c r="GI78" s="278" t="inlineStr"/>
      <c r="GJ78" s="278" t="inlineStr"/>
      <c r="GK78" s="278" t="inlineStr"/>
      <c r="GL78" s="278" t="inlineStr"/>
      <c r="GM78" s="278" t="inlineStr"/>
      <c r="GN78" s="278" t="inlineStr"/>
      <c r="GO78" s="278" t="inlineStr"/>
      <c r="GP78" s="278" t="inlineStr"/>
      <c r="GQ78" s="278" t="inlineStr"/>
      <c r="GR78" s="278" t="inlineStr"/>
      <c r="GS78" s="278" t="inlineStr"/>
      <c r="GT78" s="278" t="inlineStr"/>
      <c r="GU78" s="278" t="inlineStr"/>
      <c r="GV78" s="278" t="inlineStr"/>
      <c r="GW78" s="278" t="inlineStr"/>
      <c r="GX78" s="278" t="inlineStr"/>
      <c r="GY78" s="278" t="inlineStr"/>
      <c r="GZ78" s="278" t="inlineStr"/>
      <c r="HA78" s="278" t="inlineStr"/>
      <c r="HB78" s="278" t="inlineStr"/>
      <c r="HC78" s="278" t="inlineStr"/>
      <c r="HD78" s="278" t="inlineStr"/>
      <c r="HE78" s="278" t="inlineStr"/>
      <c r="HF78" s="278" t="inlineStr"/>
      <c r="HG78" s="278" t="inlineStr"/>
      <c r="HH78" s="278" t="inlineStr"/>
      <c r="HI78" s="278" t="inlineStr"/>
      <c r="HJ78" s="278" t="inlineStr"/>
      <c r="HK78" s="278" t="inlineStr"/>
      <c r="HL78" s="278" t="inlineStr"/>
      <c r="HM78" s="278" t="inlineStr"/>
      <c r="HN78" s="278" t="inlineStr"/>
      <c r="HO78" s="278" t="inlineStr"/>
      <c r="HP78" s="278" t="inlineStr"/>
      <c r="HQ78" s="278" t="inlineStr"/>
      <c r="HR78" s="278" t="inlineStr"/>
      <c r="HS78" s="278" t="inlineStr"/>
      <c r="HT78" s="278" t="inlineStr"/>
      <c r="HU78" s="278" t="inlineStr"/>
      <c r="HV78" s="278" t="inlineStr"/>
      <c r="HW78" s="278" t="inlineStr"/>
      <c r="HX78" s="278" t="inlineStr"/>
      <c r="HY78" s="278" t="inlineStr"/>
      <c r="HZ78" s="278" t="inlineStr"/>
      <c r="IA78" s="278" t="inlineStr"/>
      <c r="IB78" s="278" t="inlineStr"/>
      <c r="IC78" s="278" t="inlineStr"/>
      <c r="ID78" s="278" t="inlineStr"/>
      <c r="IE78" s="278" t="inlineStr"/>
      <c r="IF78" s="278" t="inlineStr"/>
      <c r="IG78" s="278" t="inlineStr"/>
      <c r="IH78" s="278" t="inlineStr"/>
      <c r="II78" s="278" t="inlineStr"/>
      <c r="IJ78" s="278" t="inlineStr"/>
      <c r="IK78" s="278" t="inlineStr"/>
      <c r="IL78" s="278" t="inlineStr"/>
      <c r="IM78" s="278" t="inlineStr"/>
      <c r="IN78" s="278" t="inlineStr"/>
      <c r="IO78" s="278" t="inlineStr"/>
      <c r="IP78" s="278" t="inlineStr"/>
      <c r="IQ78" s="278" t="inlineStr"/>
      <c r="IR78" s="278" t="inlineStr"/>
      <c r="IS78" s="278" t="inlineStr"/>
      <c r="IT78" s="278" t="inlineStr"/>
      <c r="IU78" s="278" t="inlineStr"/>
      <c r="IV78" s="278" t="inlineStr"/>
      <c r="IW78" s="278" t="inlineStr"/>
      <c r="IX78" s="278" t="inlineStr"/>
      <c r="IY78" s="278" t="inlineStr"/>
      <c r="IZ78" s="278" t="inlineStr"/>
      <c r="JA78" s="278" t="inlineStr"/>
      <c r="JB78" s="278" t="inlineStr"/>
      <c r="JC78" s="278" t="inlineStr"/>
      <c r="JD78" s="278" t="inlineStr"/>
      <c r="JE78" s="278" t="inlineStr"/>
      <c r="JF78" s="278" t="inlineStr"/>
      <c r="JG78" s="278" t="inlineStr"/>
      <c r="JH78" s="278" t="inlineStr"/>
      <c r="JI78" s="278" t="inlineStr"/>
      <c r="JJ78" s="278" t="inlineStr"/>
      <c r="JK78" s="278" t="inlineStr"/>
      <c r="JL78" s="278" t="inlineStr"/>
      <c r="JM78" s="278" t="inlineStr"/>
      <c r="JN78" s="278" t="inlineStr"/>
      <c r="JO78" s="278" t="inlineStr"/>
      <c r="JP78" s="278" t="inlineStr"/>
      <c r="JQ78" s="278" t="inlineStr"/>
      <c r="JR78" s="278" t="inlineStr"/>
      <c r="JS78" s="278" t="inlineStr"/>
      <c r="JT78" s="278" t="inlineStr"/>
      <c r="JU78" s="278" t="inlineStr"/>
      <c r="JV78" s="278" t="inlineStr"/>
      <c r="JW78" s="278" t="inlineStr"/>
      <c r="JX78" s="278" t="inlineStr"/>
      <c r="JY78" s="278" t="inlineStr"/>
      <c r="JZ78" s="278" t="inlineStr"/>
      <c r="KA78" s="278" t="inlineStr"/>
      <c r="KB78" s="278" t="inlineStr"/>
      <c r="KC78" s="278" t="inlineStr"/>
      <c r="KD78" s="278" t="inlineStr"/>
      <c r="KE78" s="278" t="inlineStr"/>
      <c r="KF78" s="278" t="inlineStr"/>
      <c r="KG78" s="278" t="inlineStr"/>
      <c r="KH78" s="278" t="inlineStr"/>
      <c r="KI78" s="278" t="inlineStr"/>
      <c r="KJ78" s="278" t="inlineStr"/>
      <c r="KK78" s="278" t="inlineStr"/>
      <c r="KL78" s="278" t="inlineStr"/>
      <c r="KM78" s="278" t="inlineStr"/>
      <c r="KN78" s="278" t="inlineStr"/>
      <c r="KO78" s="278" t="inlineStr"/>
      <c r="KP78" s="278" t="inlineStr"/>
      <c r="KQ78" s="278" t="inlineStr"/>
      <c r="KR78" s="278" t="inlineStr"/>
      <c r="KS78" s="278" t="inlineStr"/>
      <c r="KT78" s="278" t="inlineStr"/>
      <c r="KU78" s="278" t="inlineStr"/>
      <c r="KV78" s="278" t="inlineStr"/>
      <c r="KW78" s="278" t="inlineStr"/>
      <c r="KX78" s="278" t="inlineStr"/>
      <c r="KY78" s="278" t="inlineStr"/>
      <c r="KZ78" s="278" t="inlineStr"/>
      <c r="LA78" s="278" t="inlineStr"/>
      <c r="LB78" s="278" t="inlineStr"/>
      <c r="LC78" s="278" t="inlineStr"/>
      <c r="LD78" s="278" t="inlineStr"/>
      <c r="LE78" s="278" t="inlineStr"/>
      <c r="LF78" s="278" t="inlineStr"/>
      <c r="LG78" s="278" t="inlineStr"/>
      <c r="LH78" s="278" t="inlineStr"/>
      <c r="LI78" s="278" t="inlineStr"/>
      <c r="LJ78" s="278" t="inlineStr"/>
      <c r="LK78" s="278" t="inlineStr"/>
      <c r="LL78" s="278" t="inlineStr"/>
      <c r="LM78" s="278" t="inlineStr"/>
      <c r="LN78" s="278" t="inlineStr"/>
      <c r="LO78" s="278" t="inlineStr"/>
      <c r="LP78" s="278" t="inlineStr"/>
      <c r="LQ78" s="278" t="inlineStr"/>
      <c r="LR78" s="278" t="inlineStr"/>
      <c r="LS78" s="278" t="inlineStr"/>
      <c r="LT78" s="278" t="inlineStr"/>
      <c r="LU78" s="278" t="inlineStr"/>
      <c r="LV78" s="278" t="inlineStr"/>
      <c r="LW78" s="278" t="inlineStr"/>
      <c r="LX78" s="278" t="inlineStr"/>
      <c r="LY78" s="278" t="inlineStr"/>
      <c r="LZ78" s="278" t="inlineStr"/>
      <c r="MA78" s="278" t="inlineStr"/>
      <c r="MB78" s="278" t="inlineStr"/>
      <c r="MC78" s="278" t="inlineStr"/>
      <c r="MD78" s="278" t="inlineStr"/>
      <c r="ME78" s="278" t="inlineStr"/>
      <c r="MF78" s="278" t="inlineStr"/>
      <c r="MG78" s="278" t="inlineStr"/>
      <c r="MH78" s="278" t="inlineStr"/>
      <c r="MI78" s="278" t="inlineStr"/>
      <c r="MJ78" s="278" t="inlineStr"/>
      <c r="MK78" s="278" t="inlineStr"/>
      <c r="ML78" s="278" t="inlineStr"/>
      <c r="MM78" s="278" t="inlineStr"/>
      <c r="MN78" s="278" t="inlineStr"/>
      <c r="MO78" s="278" t="inlineStr"/>
      <c r="MP78" s="278" t="inlineStr"/>
      <c r="MQ78" s="278" t="inlineStr"/>
      <c r="MR78" s="278" t="inlineStr"/>
      <c r="MS78" s="278" t="inlineStr"/>
      <c r="MT78" s="278" t="inlineStr"/>
      <c r="MU78" s="278" t="inlineStr"/>
      <c r="MV78" s="278" t="inlineStr"/>
      <c r="MW78" s="278" t="inlineStr"/>
      <c r="MX78" s="278" t="inlineStr"/>
      <c r="MY78" s="278" t="inlineStr"/>
      <c r="MZ78" s="278" t="inlineStr"/>
      <c r="NA78" s="278" t="inlineStr"/>
      <c r="NB78" s="278" t="inlineStr"/>
      <c r="NC78" s="278" t="inlineStr"/>
      <c r="ND78" s="278" t="inlineStr"/>
      <c r="NE78" s="278" t="inlineStr"/>
      <c r="NF78" s="278" t="inlineStr"/>
      <c r="NG78" s="278" t="inlineStr"/>
      <c r="NH78" s="278" t="inlineStr"/>
      <c r="NI78" s="278" t="inlineStr"/>
      <c r="NJ78" s="278" t="inlineStr"/>
      <c r="NK78" s="278" t="inlineStr"/>
      <c r="NL78" s="278" t="inlineStr"/>
      <c r="NM78" s="278" t="inlineStr"/>
      <c r="NN78" s="278" t="inlineStr"/>
      <c r="NO78" s="278" t="inlineStr"/>
      <c r="NP78" s="278" t="inlineStr"/>
      <c r="NQ78" s="278" t="inlineStr"/>
      <c r="NR78" s="278" t="inlineStr"/>
      <c r="NS78" s="278" t="inlineStr"/>
      <c r="NT78" s="278" t="inlineStr"/>
      <c r="NU78" s="278" t="inlineStr"/>
      <c r="NV78" s="278" t="inlineStr"/>
      <c r="NW78" s="278" t="inlineStr"/>
      <c r="NX78" s="278" t="inlineStr"/>
      <c r="NY78" s="278" t="inlineStr"/>
      <c r="NZ78" s="278" t="inlineStr"/>
      <c r="OA78" s="278" t="inlineStr"/>
      <c r="OB78" s="278" t="inlineStr"/>
      <c r="OC78" s="278" t="inlineStr"/>
      <c r="OD78" s="278" t="inlineStr"/>
      <c r="OE78" s="278" t="inlineStr"/>
      <c r="OF78" s="278" t="inlineStr"/>
      <c r="OG78" s="278" t="inlineStr"/>
      <c r="OH78" s="278" t="inlineStr"/>
      <c r="OI78" s="278" t="inlineStr"/>
      <c r="OJ78" s="278" t="inlineStr"/>
      <c r="OK78" s="278" t="inlineStr"/>
      <c r="OL78" s="278" t="inlineStr"/>
      <c r="OM78" s="278" t="inlineStr"/>
      <c r="ON78" s="278" t="inlineStr"/>
      <c r="OO78" s="278" t="inlineStr"/>
      <c r="OP78" s="278" t="inlineStr"/>
      <c r="OQ78" s="278" t="inlineStr"/>
      <c r="OR78" s="278" t="inlineStr"/>
      <c r="OS78" s="278" t="inlineStr"/>
      <c r="OT78" s="278" t="inlineStr"/>
      <c r="OU78" s="278" t="inlineStr"/>
      <c r="OV78" s="278" t="inlineStr"/>
      <c r="OW78" s="278" t="inlineStr"/>
      <c r="OX78" s="278" t="inlineStr"/>
      <c r="OY78" s="278" t="inlineStr"/>
      <c r="OZ78" s="278" t="inlineStr"/>
      <c r="PA78" s="278" t="inlineStr"/>
      <c r="PB78" s="278" t="inlineStr"/>
      <c r="PC78" s="278" t="inlineStr"/>
      <c r="PD78" s="278" t="inlineStr"/>
      <c r="PE78" s="278" t="inlineStr"/>
      <c r="PF78" s="278" t="inlineStr"/>
      <c r="PG78" s="278" t="inlineStr"/>
      <c r="PH78" s="278" t="inlineStr"/>
      <c r="PI78" s="278" t="inlineStr"/>
      <c r="PJ78" s="278" t="inlineStr"/>
      <c r="PK78" s="278" t="inlineStr"/>
      <c r="PL78" s="278" t="inlineStr"/>
      <c r="PM78" s="278" t="inlineStr"/>
      <c r="PN78" s="278" t="inlineStr"/>
      <c r="PO78" s="278" t="inlineStr"/>
      <c r="PP78" s="278" t="inlineStr"/>
      <c r="PQ78" s="278" t="inlineStr"/>
      <c r="PR78" s="278" t="inlineStr"/>
      <c r="PS78" s="278" t="inlineStr"/>
      <c r="PT78" s="278" t="inlineStr"/>
      <c r="PU78" s="278" t="inlineStr"/>
      <c r="PV78" s="278" t="inlineStr"/>
      <c r="PW78" s="278" t="inlineStr"/>
      <c r="PX78" s="278" t="inlineStr"/>
      <c r="PY78" s="278" t="inlineStr"/>
      <c r="PZ78" s="278" t="inlineStr"/>
      <c r="QA78" s="278" t="inlineStr"/>
      <c r="QB78" s="278" t="inlineStr"/>
      <c r="QC78" s="278" t="inlineStr"/>
      <c r="QD78" s="278" t="inlineStr"/>
      <c r="QE78" s="278" t="inlineStr"/>
      <c r="QF78" s="278" t="inlineStr"/>
      <c r="QG78" s="278" t="inlineStr"/>
      <c r="QH78" s="278" t="inlineStr"/>
      <c r="QI78" s="278" t="inlineStr"/>
      <c r="QJ78" s="278" t="inlineStr"/>
      <c r="QK78" s="278" t="inlineStr"/>
      <c r="QL78" s="278" t="inlineStr"/>
      <c r="QM78" s="278" t="inlineStr"/>
      <c r="QN78" s="278" t="inlineStr"/>
      <c r="QO78" s="278" t="inlineStr"/>
      <c r="QP78" s="278" t="inlineStr"/>
      <c r="QQ78" s="278" t="inlineStr"/>
      <c r="QR78" s="278" t="inlineStr"/>
      <c r="QS78" s="278" t="inlineStr"/>
      <c r="QT78" s="278" t="inlineStr"/>
      <c r="QU78" s="278" t="inlineStr"/>
      <c r="QV78" s="278" t="inlineStr"/>
      <c r="QW78" s="278" t="inlineStr"/>
      <c r="QX78" s="278" t="inlineStr"/>
      <c r="QY78" s="278" t="inlineStr"/>
      <c r="QZ78" s="278" t="inlineStr"/>
      <c r="RA78" s="278" t="inlineStr"/>
      <c r="RB78" s="278" t="inlineStr"/>
      <c r="RC78" s="278" t="inlineStr"/>
      <c r="RD78" s="278" t="inlineStr"/>
      <c r="RE78" s="278" t="inlineStr"/>
      <c r="RF78" s="278" t="inlineStr"/>
      <c r="RG78" s="278" t="inlineStr"/>
      <c r="RH78" s="278" t="inlineStr"/>
      <c r="RI78" s="278" t="inlineStr"/>
      <c r="RJ78" s="278" t="inlineStr"/>
      <c r="RK78" s="278" t="inlineStr"/>
      <c r="RL78" s="278" t="inlineStr"/>
      <c r="RM78" s="278" t="inlineStr"/>
      <c r="RN78" s="278" t="inlineStr"/>
      <c r="RO78" s="278" t="inlineStr"/>
      <c r="RP78" s="278" t="inlineStr"/>
      <c r="RQ78" s="278" t="inlineStr"/>
      <c r="RR78" s="278" t="inlineStr"/>
      <c r="RS78" s="278" t="inlineStr"/>
      <c r="RT78" s="278" t="inlineStr"/>
      <c r="RU78" s="278" t="inlineStr"/>
      <c r="RV78" s="278" t="inlineStr"/>
      <c r="RW78" s="278" t="inlineStr"/>
      <c r="RX78" s="278" t="inlineStr"/>
      <c r="RY78" s="278" t="inlineStr"/>
      <c r="RZ78" s="278" t="inlineStr"/>
      <c r="SA78" s="278" t="inlineStr"/>
      <c r="SB78" s="278" t="inlineStr"/>
      <c r="SC78" s="278" t="inlineStr"/>
      <c r="SD78" s="278" t="inlineStr"/>
      <c r="SE78" s="278" t="inlineStr"/>
      <c r="SF78" s="278" t="inlineStr"/>
      <c r="SG78" s="278" t="inlineStr"/>
      <c r="SH78" s="278" t="inlineStr"/>
      <c r="SI78" s="278" t="inlineStr"/>
      <c r="SJ78" s="278" t="inlineStr"/>
      <c r="SK78" s="278" t="inlineStr"/>
      <c r="SL78" s="278" t="inlineStr"/>
      <c r="SM78" s="278" t="inlineStr"/>
      <c r="SN78" s="278" t="inlineStr"/>
      <c r="SO78" s="278" t="inlineStr"/>
      <c r="SP78" s="278" t="inlineStr"/>
      <c r="SQ78" s="278" t="inlineStr"/>
      <c r="SR78" s="278" t="inlineStr"/>
      <c r="SS78" s="278" t="inlineStr"/>
      <c r="ST78" s="278" t="inlineStr"/>
      <c r="SU78" s="278" t="inlineStr"/>
      <c r="SV78" s="278" t="inlineStr"/>
      <c r="SW78" s="278" t="inlineStr"/>
      <c r="SX78" s="278" t="inlineStr"/>
      <c r="SY78" s="278" t="inlineStr"/>
      <c r="SZ78" s="278" t="inlineStr"/>
      <c r="TA78" s="278" t="inlineStr"/>
      <c r="TB78" s="278" t="inlineStr"/>
      <c r="TC78" s="278" t="inlineStr"/>
      <c r="TD78" s="278" t="inlineStr"/>
      <c r="TE78" s="278" t="inlineStr"/>
      <c r="TF78" s="278" t="inlineStr"/>
      <c r="TG78" s="278" t="inlineStr"/>
      <c r="TH78" s="278" t="inlineStr"/>
      <c r="TI78" s="278" t="inlineStr"/>
      <c r="TJ78" s="278" t="inlineStr"/>
      <c r="TK78" s="278" t="inlineStr"/>
      <c r="TL78" s="278" t="inlineStr"/>
      <c r="TM78" s="278" t="inlineStr"/>
      <c r="TN78" s="278" t="inlineStr"/>
      <c r="TO78" s="278" t="inlineStr"/>
      <c r="TP78" s="278" t="inlineStr"/>
      <c r="TQ78" s="278" t="inlineStr"/>
      <c r="TR78" s="278" t="inlineStr"/>
      <c r="TS78" s="278" t="inlineStr"/>
      <c r="TT78" s="278" t="inlineStr"/>
      <c r="TU78" s="278" t="inlineStr"/>
      <c r="TV78" s="278" t="inlineStr"/>
      <c r="TW78" s="278" t="inlineStr"/>
      <c r="TX78" s="278" t="inlineStr"/>
      <c r="TY78" s="278" t="inlineStr"/>
      <c r="TZ78" s="278" t="inlineStr"/>
      <c r="UA78" s="278" t="inlineStr"/>
      <c r="UB78" s="278" t="inlineStr"/>
      <c r="UC78" s="278" t="inlineStr"/>
      <c r="UD78" s="278" t="inlineStr"/>
      <c r="UE78" s="278" t="inlineStr"/>
      <c r="UF78" s="278" t="inlineStr"/>
      <c r="UG78" s="278" t="inlineStr"/>
      <c r="UH78" s="278" t="inlineStr"/>
      <c r="UI78" s="278" t="inlineStr"/>
      <c r="UJ78" s="278" t="inlineStr"/>
      <c r="UK78" s="278" t="inlineStr"/>
      <c r="UL78" s="278" t="inlineStr"/>
      <c r="UM78" s="278" t="inlineStr"/>
      <c r="UN78" s="278" t="inlineStr"/>
      <c r="UO78" s="278" t="inlineStr"/>
      <c r="UP78" s="278" t="inlineStr"/>
      <c r="UQ78" s="278" t="inlineStr"/>
      <c r="UR78" s="278" t="inlineStr"/>
      <c r="US78" s="278" t="inlineStr"/>
      <c r="UT78" s="278" t="inlineStr"/>
      <c r="UU78" s="278" t="inlineStr"/>
      <c r="UV78" s="278" t="inlineStr"/>
      <c r="UW78" s="278" t="inlineStr"/>
      <c r="UX78" s="278" t="inlineStr"/>
      <c r="UY78" s="278" t="inlineStr"/>
      <c r="UZ78" s="278" t="inlineStr"/>
      <c r="VA78" s="278" t="inlineStr"/>
      <c r="VB78" s="278" t="inlineStr"/>
      <c r="VC78" s="278" t="inlineStr"/>
      <c r="VD78" s="278" t="inlineStr"/>
      <c r="VE78" s="278" t="inlineStr"/>
      <c r="VF78" s="278" t="inlineStr"/>
      <c r="VG78" s="278" t="inlineStr"/>
      <c r="VH78" s="278" t="inlineStr"/>
      <c r="VI78" s="278" t="inlineStr"/>
      <c r="VJ78" s="278" t="inlineStr"/>
      <c r="VK78" s="278" t="inlineStr"/>
      <c r="VL78" s="278" t="inlineStr"/>
      <c r="VM78" s="278" t="inlineStr"/>
      <c r="VN78" s="278" t="inlineStr"/>
      <c r="VO78" s="278" t="inlineStr"/>
      <c r="VP78" s="278" t="inlineStr"/>
      <c r="VQ78" s="278" t="inlineStr"/>
      <c r="VR78" s="278" t="inlineStr"/>
      <c r="VS78" s="278" t="inlineStr"/>
      <c r="VT78" s="278" t="inlineStr"/>
      <c r="VU78" s="278" t="inlineStr"/>
      <c r="VV78" s="278" t="inlineStr"/>
      <c r="VW78" s="278" t="inlineStr"/>
      <c r="VX78" s="278" t="inlineStr"/>
      <c r="VY78" s="278" t="inlineStr"/>
      <c r="VZ78" s="278" t="inlineStr"/>
      <c r="WA78" s="278" t="inlineStr"/>
      <c r="WB78" s="278" t="inlineStr"/>
      <c r="WC78" s="278" t="inlineStr"/>
      <c r="WD78" s="278" t="inlineStr"/>
      <c r="WE78" s="278" t="inlineStr"/>
      <c r="WF78" s="278" t="inlineStr"/>
      <c r="WG78" s="278" t="inlineStr"/>
      <c r="WH78" s="278" t="inlineStr"/>
      <c r="WI78" s="278" t="inlineStr"/>
      <c r="WJ78" s="278" t="inlineStr"/>
      <c r="WK78" s="278" t="inlineStr"/>
      <c r="WL78" s="278" t="inlineStr"/>
      <c r="WM78" s="278" t="inlineStr"/>
      <c r="WN78" s="278" t="inlineStr"/>
      <c r="WO78" s="278" t="inlineStr"/>
      <c r="WP78" s="278" t="inlineStr"/>
      <c r="WQ78" s="278" t="inlineStr"/>
      <c r="WR78" s="278" t="inlineStr"/>
      <c r="WS78" s="278" t="inlineStr"/>
      <c r="WT78" s="278" t="inlineStr"/>
      <c r="WU78" s="278" t="inlineStr"/>
      <c r="WV78" s="278" t="inlineStr"/>
      <c r="WW78" s="278" t="inlineStr"/>
      <c r="WX78" s="278" t="inlineStr"/>
      <c r="WY78" s="278" t="inlineStr"/>
      <c r="WZ78" s="278" t="inlineStr"/>
      <c r="XA78" s="278" t="inlineStr"/>
      <c r="XB78" s="278" t="inlineStr"/>
      <c r="XC78" s="278" t="inlineStr"/>
      <c r="XD78" s="278" t="inlineStr"/>
      <c r="XE78" s="278" t="inlineStr"/>
      <c r="XF78" s="278" t="inlineStr"/>
      <c r="XG78" s="278" t="inlineStr"/>
      <c r="XH78" s="278" t="inlineStr"/>
      <c r="XI78" s="278" t="inlineStr"/>
      <c r="XJ78" s="278" t="inlineStr"/>
      <c r="XK78" s="278" t="inlineStr"/>
      <c r="XL78" s="278" t="inlineStr"/>
      <c r="XM78" s="278" t="inlineStr"/>
      <c r="XN78" s="278" t="inlineStr"/>
      <c r="XO78" s="278" t="inlineStr"/>
      <c r="XP78" s="278" t="inlineStr"/>
      <c r="XQ78" s="278" t="inlineStr"/>
      <c r="XR78" s="278" t="inlineStr"/>
      <c r="XS78" s="278" t="inlineStr"/>
      <c r="XT78" s="278" t="inlineStr"/>
      <c r="XU78" s="278" t="inlineStr"/>
      <c r="XV78" s="278" t="inlineStr"/>
      <c r="XW78" s="278" t="inlineStr"/>
      <c r="XX78" s="278" t="inlineStr"/>
      <c r="XY78" s="278" t="inlineStr"/>
      <c r="XZ78" s="278" t="inlineStr"/>
      <c r="YA78" s="278" t="inlineStr"/>
      <c r="YB78" s="278" t="inlineStr"/>
      <c r="YC78" s="278" t="inlineStr"/>
      <c r="YD78" s="278" t="inlineStr"/>
      <c r="YE78" s="278" t="inlineStr"/>
      <c r="YF78" s="278" t="inlineStr"/>
      <c r="YG78" s="278" t="inlineStr"/>
      <c r="YH78" s="278" t="inlineStr"/>
      <c r="YI78" s="278" t="inlineStr"/>
      <c r="YJ78" s="278" t="inlineStr"/>
      <c r="YK78" s="278" t="inlineStr"/>
      <c r="YL78" s="278" t="inlineStr"/>
      <c r="YM78" s="278" t="inlineStr"/>
      <c r="YN78" s="278" t="inlineStr"/>
      <c r="YO78" s="278" t="inlineStr"/>
      <c r="YP78" s="278" t="inlineStr"/>
      <c r="YQ78" s="278" t="inlineStr"/>
      <c r="YR78" s="278" t="inlineStr"/>
      <c r="YS78" s="278" t="inlineStr"/>
      <c r="YT78" s="278" t="inlineStr"/>
      <c r="YU78" s="278" t="inlineStr"/>
      <c r="YV78" s="278" t="inlineStr"/>
      <c r="YW78" s="278" t="inlineStr"/>
      <c r="YX78" s="278" t="inlineStr"/>
      <c r="YY78" s="278" t="inlineStr"/>
      <c r="YZ78" s="278" t="inlineStr"/>
      <c r="ZA78" s="278" t="inlineStr"/>
      <c r="ZB78" s="278" t="inlineStr"/>
      <c r="ZC78" s="278" t="inlineStr"/>
      <c r="ZD78" s="278" t="inlineStr"/>
      <c r="ZE78" s="278" t="inlineStr"/>
      <c r="ZF78" s="278" t="inlineStr"/>
      <c r="ZG78" s="278" t="inlineStr"/>
      <c r="ZH78" s="278" t="inlineStr"/>
      <c r="ZI78" s="278" t="inlineStr"/>
      <c r="ZJ78" s="278" t="inlineStr"/>
      <c r="ZK78" s="278" t="inlineStr"/>
      <c r="ZL78" s="278" t="inlineStr"/>
      <c r="ZM78" s="278" t="inlineStr"/>
      <c r="ZN78" s="278" t="inlineStr"/>
      <c r="ZO78" s="278" t="inlineStr"/>
      <c r="ZP78" s="278" t="inlineStr"/>
      <c r="ZQ78" s="278" t="inlineStr"/>
      <c r="ZR78" s="278" t="inlineStr"/>
      <c r="ZS78" s="278" t="inlineStr"/>
      <c r="ZT78" s="278" t="inlineStr"/>
      <c r="ZU78" s="278" t="inlineStr"/>
      <c r="ZV78" s="278" t="inlineStr"/>
      <c r="ZW78" s="278" t="inlineStr"/>
      <c r="ZX78" s="278" t="inlineStr"/>
      <c r="ZY78" s="278" t="inlineStr"/>
      <c r="ZZ78" s="278" t="inlineStr"/>
      <c r="AAA78" s="278" t="inlineStr"/>
      <c r="AAB78" s="278" t="inlineStr"/>
      <c r="AAC78" s="278" t="inlineStr"/>
      <c r="AAD78" s="278" t="inlineStr"/>
      <c r="AAE78" s="278" t="inlineStr"/>
      <c r="AAF78" s="278" t="inlineStr"/>
      <c r="AAG78" s="278" t="inlineStr"/>
      <c r="AAH78" s="278" t="inlineStr"/>
      <c r="AAI78" s="278" t="inlineStr"/>
      <c r="AAJ78" s="278" t="inlineStr"/>
      <c r="AAK78" s="278" t="inlineStr"/>
      <c r="AAL78" s="278" t="inlineStr"/>
      <c r="AAM78" s="278" t="inlineStr"/>
      <c r="AAN78" s="278" t="inlineStr"/>
      <c r="AAO78" s="278" t="inlineStr"/>
      <c r="AAP78" s="278" t="inlineStr"/>
      <c r="AAQ78" s="278" t="inlineStr"/>
      <c r="AAR78" s="278" t="inlineStr"/>
      <c r="AAS78" s="278" t="inlineStr"/>
      <c r="AAT78" s="278" t="inlineStr"/>
      <c r="AAU78" s="278" t="inlineStr"/>
      <c r="AAV78" s="278" t="inlineStr"/>
      <c r="AAW78" s="278" t="inlineStr"/>
      <c r="AAX78" s="278" t="inlineStr"/>
      <c r="AAY78" s="278" t="inlineStr"/>
      <c r="AAZ78" s="278" t="inlineStr"/>
      <c r="ABA78" s="278" t="inlineStr"/>
      <c r="ABB78" s="278" t="inlineStr"/>
      <c r="ABC78" s="278" t="inlineStr"/>
      <c r="ABD78" s="278" t="inlineStr"/>
      <c r="ABE78" s="278" t="inlineStr"/>
      <c r="ABF78" s="278" t="inlineStr"/>
      <c r="ABG78" s="278" t="inlineStr"/>
      <c r="ABH78" s="278" t="inlineStr"/>
      <c r="ABI78" s="278" t="inlineStr"/>
      <c r="ABJ78" s="278" t="inlineStr"/>
      <c r="ABK78" s="278" t="inlineStr"/>
      <c r="ABL78" s="278" t="inlineStr"/>
      <c r="ABM78" s="278" t="inlineStr"/>
      <c r="ABN78" s="278" t="inlineStr"/>
      <c r="ABO78" s="278" t="inlineStr"/>
      <c r="ABP78" s="278" t="inlineStr"/>
      <c r="ABQ78" s="278" t="inlineStr"/>
      <c r="ABR78" s="278" t="inlineStr"/>
      <c r="ABS78" s="278" t="inlineStr"/>
      <c r="ABT78" s="278" t="inlineStr"/>
      <c r="ABU78" s="278" t="inlineStr"/>
      <c r="ABV78" s="278" t="inlineStr"/>
      <c r="ABW78" s="278" t="inlineStr"/>
      <c r="ABX78" s="278" t="inlineStr"/>
      <c r="ABY78" s="278" t="inlineStr"/>
      <c r="ABZ78" s="278" t="inlineStr"/>
      <c r="ACA78" s="278" t="inlineStr"/>
      <c r="ACB78" s="278" t="inlineStr"/>
      <c r="ACC78" s="278" t="inlineStr"/>
      <c r="ACD78" s="278" t="inlineStr"/>
      <c r="ACE78" s="278" t="inlineStr"/>
      <c r="ACF78" s="278" t="inlineStr"/>
      <c r="ACG78" s="278" t="inlineStr"/>
      <c r="ACH78" s="278" t="inlineStr"/>
      <c r="ACI78" s="278" t="inlineStr"/>
      <c r="ACJ78" s="278" t="inlineStr"/>
      <c r="ACK78" s="278" t="inlineStr"/>
      <c r="ACL78" s="278" t="inlineStr"/>
      <c r="ACM78" s="278" t="inlineStr"/>
      <c r="ACN78" s="278" t="inlineStr"/>
      <c r="ACO78" s="278" t="inlineStr"/>
      <c r="ACP78" s="278" t="inlineStr"/>
      <c r="ACQ78" s="278" t="inlineStr"/>
      <c r="ACR78" s="278" t="inlineStr"/>
      <c r="ACS78" s="278" t="inlineStr"/>
      <c r="ACT78" s="278" t="inlineStr"/>
      <c r="ACU78" s="278" t="inlineStr"/>
      <c r="ACV78" s="278" t="inlineStr"/>
      <c r="ACW78" s="278" t="inlineStr"/>
      <c r="ACX78" s="278" t="inlineStr"/>
      <c r="ACY78" s="278" t="inlineStr"/>
      <c r="ACZ78" s="278" t="inlineStr"/>
      <c r="ADA78" s="278" t="inlineStr"/>
      <c r="ADB78" s="278" t="inlineStr"/>
      <c r="ADC78" s="278" t="inlineStr"/>
      <c r="ADD78" s="278" t="inlineStr"/>
      <c r="ADE78" s="278" t="inlineStr"/>
      <c r="ADF78" s="278" t="inlineStr"/>
      <c r="ADG78" s="278" t="inlineStr"/>
      <c r="ADH78" s="278" t="inlineStr"/>
      <c r="ADI78" s="278" t="inlineStr"/>
      <c r="ADJ78" s="278" t="inlineStr"/>
      <c r="ADK78" s="278" t="inlineStr"/>
      <c r="ADL78" s="278" t="inlineStr"/>
      <c r="ADM78" s="278" t="inlineStr"/>
      <c r="ADN78" s="278" t="inlineStr"/>
      <c r="ADO78" s="278" t="inlineStr"/>
      <c r="ADP78" s="278" t="inlineStr"/>
      <c r="ADQ78" s="278" t="inlineStr"/>
      <c r="ADR78" s="278" t="inlineStr"/>
      <c r="ADS78" s="278" t="inlineStr"/>
      <c r="ADT78" s="278" t="inlineStr"/>
      <c r="ADU78" s="278" t="inlineStr"/>
      <c r="ADV78" s="278" t="inlineStr"/>
      <c r="ADW78" s="278" t="inlineStr"/>
      <c r="ADX78" s="278" t="inlineStr"/>
      <c r="ADY78" s="278" t="inlineStr"/>
      <c r="ADZ78" s="278" t="inlineStr"/>
      <c r="AEA78" s="278" t="inlineStr"/>
      <c r="AEB78" s="278" t="inlineStr"/>
      <c r="AEC78" s="278" t="inlineStr"/>
      <c r="AED78" s="278" t="inlineStr"/>
      <c r="AEE78" s="278" t="inlineStr"/>
      <c r="AEF78" s="278" t="inlineStr"/>
      <c r="AEG78" s="278" t="inlineStr"/>
      <c r="AEH78" s="278" t="inlineStr"/>
      <c r="AEI78" s="278" t="inlineStr"/>
      <c r="AEJ78" s="278" t="inlineStr"/>
      <c r="AEK78" s="278" t="inlineStr"/>
      <c r="AEL78" s="278" t="inlineStr"/>
      <c r="AEM78" s="278" t="inlineStr"/>
      <c r="AEN78" s="278" t="inlineStr"/>
      <c r="AEO78" s="278" t="inlineStr"/>
      <c r="AEP78" s="278" t="inlineStr"/>
      <c r="AEQ78" s="278" t="inlineStr"/>
      <c r="AER78" s="278" t="inlineStr"/>
      <c r="AES78" s="278" t="inlineStr"/>
      <c r="AET78" s="278" t="inlineStr"/>
      <c r="AEU78" s="278" t="inlineStr"/>
      <c r="AEV78" s="278" t="inlineStr"/>
      <c r="AEW78" s="278" t="inlineStr"/>
      <c r="AEX78" s="278" t="inlineStr"/>
      <c r="AEY78" s="278" t="inlineStr"/>
      <c r="AEZ78" s="278" t="inlineStr"/>
      <c r="AFA78" s="278" t="inlineStr"/>
      <c r="AFB78" s="278" t="inlineStr"/>
      <c r="AFC78" s="278" t="inlineStr"/>
      <c r="AFD78" s="278" t="inlineStr"/>
      <c r="AFE78" s="278" t="inlineStr"/>
      <c r="AFF78" s="278" t="inlineStr"/>
      <c r="AFG78" s="278" t="inlineStr"/>
      <c r="AFH78" s="278" t="inlineStr"/>
      <c r="AFI78" s="278" t="inlineStr"/>
      <c r="AFJ78" s="278" t="inlineStr"/>
      <c r="AFK78" s="278" t="inlineStr"/>
      <c r="AFL78" s="278" t="inlineStr"/>
      <c r="AFM78" s="278" t="inlineStr"/>
      <c r="AFN78" s="278" t="inlineStr"/>
      <c r="AFO78" s="278" t="inlineStr"/>
      <c r="AFP78" s="278" t="inlineStr"/>
      <c r="AFQ78" s="278" t="inlineStr"/>
      <c r="AFR78" s="278" t="inlineStr"/>
      <c r="AFS78" s="278" t="inlineStr"/>
      <c r="AFT78" s="278" t="inlineStr"/>
      <c r="AFU78" s="278" t="inlineStr"/>
      <c r="AFV78" s="278" t="inlineStr"/>
      <c r="AFW78" s="278" t="inlineStr"/>
      <c r="AFX78" s="278" t="inlineStr"/>
      <c r="AFY78" s="278" t="inlineStr"/>
      <c r="AFZ78" s="278" t="inlineStr"/>
      <c r="AGA78" s="278" t="inlineStr"/>
      <c r="AGB78" s="278" t="inlineStr"/>
      <c r="AGC78" s="278" t="inlineStr"/>
      <c r="AGD78" s="278" t="inlineStr"/>
      <c r="AGE78" s="278" t="inlineStr"/>
      <c r="AGF78" s="278" t="inlineStr"/>
      <c r="AGG78" s="278" t="inlineStr"/>
      <c r="AGH78" s="278" t="inlineStr"/>
      <c r="AGI78" s="278" t="inlineStr"/>
      <c r="AGJ78" s="278" t="inlineStr"/>
      <c r="AGK78" s="278" t="inlineStr"/>
      <c r="AGL78" s="278" t="inlineStr"/>
      <c r="AGM78" s="278" t="inlineStr"/>
      <c r="AGN78" s="278" t="inlineStr"/>
      <c r="AGO78" s="278" t="inlineStr"/>
      <c r="AGP78" s="278" t="inlineStr"/>
      <c r="AGQ78" s="278" t="inlineStr"/>
      <c r="AGR78" s="278" t="inlineStr"/>
      <c r="AGS78" s="278" t="inlineStr"/>
      <c r="AGT78" s="278" t="inlineStr"/>
      <c r="AGU78" s="278" t="inlineStr"/>
      <c r="AGV78" s="278" t="inlineStr"/>
      <c r="AGW78" s="278" t="inlineStr"/>
      <c r="AGX78" s="278" t="inlineStr"/>
      <c r="AGY78" s="278" t="inlineStr"/>
      <c r="AGZ78" s="278" t="inlineStr"/>
      <c r="AHA78" s="278" t="inlineStr"/>
      <c r="AHB78" s="278" t="inlineStr"/>
      <c r="AHC78" s="278" t="inlineStr"/>
      <c r="AHD78" s="278" t="inlineStr"/>
      <c r="AHE78" s="278" t="inlineStr"/>
      <c r="AHF78" s="278" t="inlineStr"/>
      <c r="AHG78" s="278" t="inlineStr"/>
      <c r="AHH78" s="278" t="inlineStr"/>
      <c r="AHI78" s="278" t="inlineStr"/>
      <c r="AHJ78" s="278" t="inlineStr"/>
      <c r="AHK78" s="278" t="inlineStr"/>
      <c r="AHL78" s="278" t="inlineStr"/>
      <c r="AHM78" s="278" t="inlineStr"/>
      <c r="AHN78" s="278" t="inlineStr"/>
      <c r="AHO78" s="278" t="inlineStr"/>
      <c r="AHP78" s="278" t="inlineStr"/>
      <c r="AHQ78" s="278" t="inlineStr"/>
      <c r="AHR78" s="278" t="inlineStr"/>
      <c r="AHS78" s="278" t="inlineStr"/>
      <c r="AHT78" s="278" t="inlineStr"/>
      <c r="AHU78" s="278" t="inlineStr"/>
      <c r="AHV78" s="278" t="inlineStr"/>
      <c r="AHW78" s="278" t="inlineStr"/>
      <c r="AHX78" s="278" t="inlineStr"/>
      <c r="AHY78" s="278" t="inlineStr"/>
      <c r="AHZ78" s="278" t="inlineStr"/>
      <c r="AIA78" s="278" t="inlineStr"/>
      <c r="AIB78" s="278" t="inlineStr"/>
      <c r="AIC78" s="278" t="inlineStr"/>
      <c r="AID78" s="278" t="inlineStr"/>
      <c r="AIE78" s="278" t="inlineStr"/>
      <c r="AIF78" s="278" t="inlineStr"/>
      <c r="AIG78" s="278" t="inlineStr"/>
      <c r="AIH78" s="278" t="inlineStr"/>
      <c r="AII78" s="278" t="inlineStr"/>
      <c r="AIJ78" s="278" t="inlineStr"/>
      <c r="AIK78" s="278" t="inlineStr"/>
      <c r="AIL78" s="278" t="inlineStr"/>
      <c r="AIM78" s="278" t="inlineStr"/>
      <c r="AIN78" s="278" t="inlineStr"/>
      <c r="AIO78" s="278" t="inlineStr"/>
      <c r="AIP78" s="278" t="inlineStr"/>
      <c r="AIQ78" s="278" t="inlineStr"/>
      <c r="AIR78" s="278" t="inlineStr"/>
      <c r="AIS78" s="278" t="inlineStr"/>
      <c r="AIT78" s="278" t="inlineStr"/>
      <c r="AIU78" s="278" t="inlineStr"/>
      <c r="AIV78" s="278" t="inlineStr"/>
      <c r="AIW78" s="278" t="inlineStr"/>
      <c r="AIX78" s="278" t="inlineStr"/>
      <c r="AIY78" s="278" t="inlineStr"/>
      <c r="AIZ78" s="278" t="inlineStr"/>
      <c r="AJA78" s="278" t="inlineStr"/>
      <c r="AJB78" s="278" t="inlineStr"/>
      <c r="AJC78" s="278" t="inlineStr"/>
      <c r="AJD78" s="278" t="inlineStr"/>
      <c r="AJE78" s="278" t="inlineStr"/>
      <c r="AJF78" s="278" t="inlineStr"/>
      <c r="AJG78" s="278" t="inlineStr"/>
      <c r="AJH78" s="278" t="inlineStr"/>
      <c r="AJI78" s="278" t="inlineStr"/>
      <c r="AJJ78" s="278" t="inlineStr"/>
      <c r="AJK78" s="278" t="inlineStr"/>
      <c r="AJL78" s="278" t="inlineStr"/>
      <c r="AJM78" s="278" t="inlineStr"/>
      <c r="AJN78" s="278" t="inlineStr"/>
      <c r="AJO78" s="278" t="inlineStr"/>
      <c r="AJP78" s="278" t="inlineStr"/>
      <c r="AJQ78" s="278" t="inlineStr"/>
      <c r="AJR78" s="278" t="inlineStr"/>
      <c r="AJS78" s="278" t="inlineStr"/>
      <c r="AJT78" s="278" t="inlineStr"/>
      <c r="AJU78" s="278" t="inlineStr"/>
      <c r="AJV78" s="278" t="inlineStr"/>
      <c r="AJW78" s="278" t="inlineStr"/>
      <c r="AJX78" s="278" t="inlineStr"/>
      <c r="AJY78" s="278" t="inlineStr"/>
      <c r="AJZ78" s="278" t="inlineStr"/>
      <c r="AKA78" s="278" t="inlineStr"/>
      <c r="AKB78" s="278" t="inlineStr"/>
      <c r="AKC78" s="278" t="inlineStr"/>
      <c r="AKD78" s="278" t="inlineStr"/>
      <c r="AKE78" s="278" t="inlineStr"/>
      <c r="AKF78" s="278" t="inlineStr"/>
      <c r="AKG78" s="278" t="inlineStr"/>
      <c r="AKH78" s="278" t="inlineStr"/>
      <c r="AKI78" s="278" t="inlineStr"/>
      <c r="AKJ78" s="278" t="inlineStr"/>
      <c r="AKK78" s="278" t="inlineStr"/>
      <c r="AKL78" s="278" t="inlineStr"/>
      <c r="AKM78" s="278" t="inlineStr"/>
      <c r="AKN78" s="278" t="inlineStr"/>
      <c r="AKO78" s="278" t="inlineStr"/>
      <c r="AKP78" s="278" t="inlineStr"/>
      <c r="AKQ78" s="278" t="inlineStr"/>
      <c r="AKR78" s="278" t="inlineStr"/>
      <c r="AKS78" s="278" t="inlineStr"/>
      <c r="AKT78" s="278" t="inlineStr"/>
      <c r="AKU78" s="278" t="inlineStr"/>
      <c r="AKV78" s="278" t="inlineStr"/>
      <c r="AKW78" s="278" t="inlineStr"/>
      <c r="AKX78" s="278" t="inlineStr"/>
      <c r="AKY78" s="278" t="inlineStr"/>
      <c r="AKZ78" s="278" t="inlineStr"/>
      <c r="ALA78" s="278" t="inlineStr"/>
      <c r="ALB78" s="278" t="inlineStr"/>
      <c r="ALC78" s="278" t="inlineStr"/>
      <c r="ALD78" s="278" t="inlineStr"/>
      <c r="ALE78" s="278" t="inlineStr"/>
      <c r="ALF78" s="278" t="inlineStr"/>
      <c r="ALG78" s="278" t="inlineStr"/>
      <c r="ALH78" s="278" t="inlineStr"/>
      <c r="ALI78" s="278" t="inlineStr"/>
      <c r="ALJ78" s="278" t="inlineStr"/>
      <c r="ALK78" s="278" t="inlineStr"/>
      <c r="ALL78" s="278" t="inlineStr"/>
      <c r="ALM78" s="278" t="inlineStr"/>
      <c r="ALN78" s="278" t="inlineStr"/>
      <c r="ALO78" s="278" t="inlineStr"/>
      <c r="ALP78" s="278" t="inlineStr"/>
      <c r="ALQ78" s="278" t="inlineStr"/>
      <c r="ALR78" s="278" t="inlineStr"/>
      <c r="ALS78" s="278" t="inlineStr"/>
      <c r="ALT78" s="278" t="inlineStr"/>
      <c r="ALU78" s="278" t="inlineStr"/>
      <c r="ALV78" s="278" t="inlineStr"/>
      <c r="ALW78" s="278" t="inlineStr"/>
      <c r="ALX78" s="278" t="inlineStr"/>
      <c r="ALY78" s="278" t="inlineStr"/>
      <c r="ALZ78" s="278" t="inlineStr"/>
      <c r="AMA78" s="278" t="inlineStr"/>
      <c r="AMB78" s="278" t="inlineStr"/>
      <c r="AMC78" s="278" t="inlineStr"/>
      <c r="AMD78" s="278" t="inlineStr"/>
      <c r="AME78" s="278" t="inlineStr"/>
      <c r="AMF78" s="278" t="inlineStr"/>
      <c r="AMG78" s="278" t="inlineStr"/>
      <c r="AMH78" s="278" t="inlineStr"/>
      <c r="AMI78" s="278" t="inlineStr"/>
      <c r="AMJ78" s="278" t="inlineStr"/>
      <c r="AMK78" s="278" t="inlineStr"/>
      <c r="AML78" s="278" t="inlineStr"/>
      <c r="AMM78" s="278" t="inlineStr"/>
      <c r="AMN78" s="278" t="inlineStr"/>
      <c r="AMO78" s="278" t="inlineStr"/>
      <c r="AMP78" s="278" t="inlineStr"/>
      <c r="AMQ78" s="278" t="inlineStr"/>
      <c r="AMR78" s="278" t="inlineStr"/>
      <c r="AMS78" s="278" t="inlineStr"/>
      <c r="AMT78" s="278" t="inlineStr"/>
      <c r="AMU78" s="278" t="inlineStr"/>
      <c r="AMV78" s="278" t="inlineStr"/>
      <c r="AMW78" s="278" t="inlineStr"/>
      <c r="AMX78" s="278" t="inlineStr"/>
      <c r="AMY78" s="278" t="inlineStr"/>
      <c r="AMZ78" s="278" t="inlineStr"/>
      <c r="ANA78" s="278" t="inlineStr"/>
      <c r="ANB78" s="278" t="inlineStr"/>
      <c r="ANC78" s="278" t="inlineStr"/>
      <c r="AND78" s="278" t="inlineStr"/>
      <c r="ANE78" s="278" t="inlineStr"/>
      <c r="ANF78" s="278" t="inlineStr"/>
      <c r="ANG78" s="278" t="inlineStr"/>
      <c r="ANH78" s="278" t="inlineStr"/>
      <c r="ANI78" s="278" t="inlineStr"/>
      <c r="ANJ78" s="278" t="inlineStr"/>
      <c r="ANK78" s="278" t="inlineStr"/>
      <c r="ANL78" s="278" t="inlineStr"/>
      <c r="ANM78" s="278" t="inlineStr"/>
      <c r="ANN78" s="278" t="inlineStr"/>
      <c r="ANO78" s="278" t="inlineStr"/>
      <c r="ANP78" s="278" t="inlineStr"/>
      <c r="ANQ78" s="278" t="inlineStr"/>
      <c r="ANR78" s="278" t="inlineStr"/>
      <c r="ANS78" s="278" t="inlineStr"/>
      <c r="ANT78" s="278" t="inlineStr"/>
      <c r="ANU78" s="278" t="inlineStr"/>
      <c r="ANV78" s="278" t="inlineStr"/>
      <c r="ANW78" s="278" t="inlineStr"/>
      <c r="ANX78" s="278" t="inlineStr"/>
      <c r="ANY78" s="278" t="inlineStr"/>
      <c r="ANZ78" s="278" t="inlineStr"/>
      <c r="AOA78" s="278" t="inlineStr"/>
      <c r="AOB78" s="278" t="inlineStr"/>
      <c r="AOC78" s="278" t="inlineStr"/>
      <c r="AOD78" s="278" t="inlineStr"/>
      <c r="AOE78" s="278" t="inlineStr"/>
      <c r="AOF78" s="278" t="inlineStr"/>
      <c r="AOG78" s="278" t="inlineStr"/>
      <c r="AOH78" s="278" t="inlineStr"/>
      <c r="AOI78" s="278" t="inlineStr"/>
      <c r="AOJ78" s="278" t="inlineStr"/>
      <c r="AOK78" s="278" t="inlineStr"/>
      <c r="AOL78" s="278" t="inlineStr"/>
      <c r="AOM78" s="278" t="inlineStr"/>
      <c r="AON78" s="278" t="inlineStr"/>
      <c r="AOO78" s="278" t="inlineStr"/>
      <c r="AOP78" s="278" t="inlineStr"/>
      <c r="AOQ78" s="278" t="inlineStr"/>
      <c r="AOR78" s="278" t="inlineStr"/>
      <c r="AOS78" s="278" t="inlineStr"/>
      <c r="AOT78" s="278" t="inlineStr"/>
      <c r="AOU78" s="278" t="inlineStr"/>
      <c r="AOV78" s="278" t="inlineStr"/>
      <c r="AOW78" s="278" t="inlineStr"/>
      <c r="AOX78" s="278" t="inlineStr"/>
      <c r="AOY78" s="278" t="inlineStr"/>
      <c r="AOZ78" s="278" t="inlineStr"/>
      <c r="APA78" s="278" t="inlineStr"/>
      <c r="APB78" s="278" t="inlineStr"/>
      <c r="APC78" s="278" t="inlineStr"/>
      <c r="APD78" s="278" t="inlineStr"/>
      <c r="APE78" s="278" t="inlineStr"/>
      <c r="APF78" s="278" t="inlineStr"/>
      <c r="APG78" s="278" t="inlineStr"/>
      <c r="APH78" s="278" t="inlineStr"/>
      <c r="API78" s="278" t="inlineStr"/>
      <c r="APJ78" s="278" t="inlineStr"/>
      <c r="APK78" s="278" t="inlineStr"/>
      <c r="APL78" s="278" t="inlineStr"/>
      <c r="APM78" s="278" t="inlineStr"/>
      <c r="APN78" s="278" t="inlineStr"/>
      <c r="APO78" s="278" t="inlineStr"/>
      <c r="APP78" s="278" t="inlineStr"/>
      <c r="APQ78" s="278" t="inlineStr"/>
      <c r="APR78" s="278" t="inlineStr"/>
      <c r="APS78" s="278" t="inlineStr"/>
      <c r="APT78" s="278" t="inlineStr"/>
      <c r="APU78" s="278" t="inlineStr"/>
      <c r="APV78" s="278" t="inlineStr"/>
      <c r="APW78" s="278" t="inlineStr"/>
      <c r="APX78" s="278" t="inlineStr"/>
      <c r="APY78" s="278" t="inlineStr"/>
      <c r="APZ78" s="278" t="inlineStr"/>
      <c r="AQA78" s="278" t="inlineStr"/>
      <c r="AQB78" s="278" t="inlineStr"/>
      <c r="AQC78" s="278" t="inlineStr"/>
      <c r="AQD78" s="278" t="inlineStr"/>
      <c r="AQE78" s="278" t="inlineStr"/>
      <c r="AQF78" s="278" t="inlineStr"/>
      <c r="AQG78" s="278" t="inlineStr"/>
      <c r="AQH78" s="278" t="inlineStr"/>
      <c r="AQI78" s="278" t="inlineStr"/>
      <c r="AQJ78" s="278" t="inlineStr"/>
      <c r="AQK78" s="278" t="inlineStr"/>
      <c r="AQL78" s="278" t="inlineStr"/>
      <c r="AQM78" s="278" t="inlineStr"/>
      <c r="AQN78" s="278" t="inlineStr"/>
      <c r="AQO78" s="278" t="inlineStr"/>
      <c r="AQP78" s="278" t="inlineStr"/>
      <c r="AQQ78" s="278" t="inlineStr"/>
      <c r="AQR78" s="278" t="inlineStr"/>
      <c r="AQS78" s="278" t="inlineStr"/>
      <c r="AQT78" s="278" t="inlineStr"/>
      <c r="AQU78" s="278" t="inlineStr"/>
      <c r="AQV78" s="278" t="inlineStr"/>
      <c r="AQW78" s="278" t="inlineStr"/>
      <c r="AQX78" s="278" t="inlineStr"/>
      <c r="AQY78" s="278" t="inlineStr"/>
      <c r="AQZ78" s="278" t="inlineStr"/>
      <c r="ARA78" s="278" t="inlineStr"/>
      <c r="ARB78" s="278" t="inlineStr"/>
      <c r="ARC78" s="278" t="inlineStr"/>
      <c r="ARD78" s="278" t="inlineStr"/>
      <c r="ARE78" s="278" t="inlineStr"/>
      <c r="ARF78" s="278" t="inlineStr"/>
      <c r="ARG78" s="278" t="inlineStr"/>
      <c r="ARH78" s="278" t="inlineStr"/>
      <c r="ARI78" s="278" t="inlineStr"/>
      <c r="ARJ78" s="278" t="inlineStr"/>
      <c r="ARK78" s="278" t="inlineStr"/>
      <c r="ARL78" s="278" t="inlineStr"/>
      <c r="ARM78" s="278" t="inlineStr"/>
      <c r="ARN78" s="278" t="inlineStr"/>
      <c r="ARO78" s="278" t="inlineStr"/>
      <c r="ARP78" s="278" t="inlineStr"/>
      <c r="ARQ78" s="278" t="inlineStr"/>
      <c r="ARR78" s="278" t="inlineStr"/>
      <c r="ARS78" s="278" t="inlineStr"/>
      <c r="ART78" s="278" t="inlineStr"/>
      <c r="ARU78" s="278" t="inlineStr"/>
      <c r="ARV78" s="278" t="inlineStr"/>
      <c r="ARW78" s="278" t="inlineStr"/>
      <c r="ARX78" s="278" t="inlineStr"/>
      <c r="ARY78" s="278" t="inlineStr"/>
      <c r="ARZ78" s="278" t="inlineStr"/>
      <c r="ASA78" s="278" t="inlineStr"/>
      <c r="ASB78" s="278" t="inlineStr"/>
      <c r="ASC78" s="278" t="inlineStr"/>
      <c r="ASD78" s="278" t="inlineStr"/>
      <c r="ASE78" s="278" t="inlineStr"/>
      <c r="ASF78" s="278" t="inlineStr"/>
      <c r="ASG78" s="278" t="inlineStr"/>
      <c r="ASH78" s="278" t="inlineStr"/>
      <c r="ASI78" s="278" t="inlineStr"/>
      <c r="ASJ78" s="278" t="inlineStr"/>
      <c r="ASK78" s="278" t="inlineStr"/>
      <c r="ASL78" s="278" t="inlineStr"/>
      <c r="ASM78" s="278" t="inlineStr"/>
      <c r="ASN78" s="278" t="inlineStr"/>
      <c r="ASO78" s="278" t="inlineStr"/>
      <c r="ASP78" s="278" t="inlineStr"/>
      <c r="ASQ78" s="278" t="inlineStr"/>
      <c r="ASR78" s="278" t="inlineStr"/>
      <c r="ASS78" s="278" t="inlineStr"/>
      <c r="AST78" s="278" t="inlineStr"/>
      <c r="ASU78" s="278" t="inlineStr"/>
      <c r="ASV78" s="278" t="inlineStr"/>
      <c r="ASW78" s="278" t="inlineStr"/>
      <c r="ASX78" s="278" t="inlineStr"/>
      <c r="ASY78" s="278" t="inlineStr"/>
      <c r="ASZ78" s="278" t="inlineStr"/>
      <c r="ATA78" s="278" t="inlineStr"/>
      <c r="ATB78" s="278" t="inlineStr"/>
      <c r="ATC78" s="278" t="inlineStr"/>
      <c r="ATD78" s="278" t="inlineStr"/>
      <c r="ATE78" s="278" t="inlineStr"/>
      <c r="ATF78" s="278" t="inlineStr"/>
      <c r="ATG78" s="278" t="inlineStr"/>
      <c r="ATH78" s="278" t="inlineStr"/>
      <c r="ATI78" s="278" t="inlineStr"/>
      <c r="ATJ78" s="278" t="inlineStr"/>
      <c r="ATK78" s="278" t="inlineStr"/>
      <c r="ATL78" s="278" t="inlineStr"/>
      <c r="ATM78" s="278" t="inlineStr"/>
      <c r="ATN78" s="278" t="inlineStr"/>
      <c r="ATO78" s="278" t="inlineStr"/>
      <c r="ATP78" s="278" t="inlineStr"/>
      <c r="ATQ78" s="278" t="inlineStr"/>
      <c r="ATR78" s="278" t="inlineStr"/>
      <c r="ATS78" s="278" t="inlineStr"/>
      <c r="ATT78" s="278" t="inlineStr"/>
      <c r="ATU78" s="278" t="inlineStr"/>
      <c r="ATV78" s="278" t="inlineStr"/>
      <c r="ATW78" s="278" t="inlineStr"/>
      <c r="ATX78" s="278" t="inlineStr"/>
      <c r="ATY78" s="278" t="inlineStr"/>
      <c r="ATZ78" s="278" t="inlineStr"/>
      <c r="AUA78" s="278" t="inlineStr"/>
      <c r="AUB78" s="278" t="inlineStr"/>
      <c r="AUC78" s="278" t="inlineStr"/>
      <c r="AUD78" s="278" t="inlineStr"/>
      <c r="AUE78" s="278" t="inlineStr"/>
      <c r="AUF78" s="278" t="inlineStr"/>
      <c r="AUG78" s="278" t="inlineStr"/>
      <c r="AUH78" s="278" t="inlineStr"/>
      <c r="AUI78" s="278" t="inlineStr"/>
      <c r="AUJ78" s="278" t="inlineStr"/>
      <c r="AUK78" s="278" t="inlineStr"/>
      <c r="AUL78" s="278" t="inlineStr"/>
      <c r="AUM78" s="278" t="inlineStr"/>
      <c r="AUN78" s="278" t="inlineStr"/>
      <c r="AUO78" s="278" t="inlineStr"/>
      <c r="AUP78" s="278" t="inlineStr"/>
      <c r="AUQ78" s="278" t="inlineStr"/>
      <c r="AUR78" s="278" t="inlineStr"/>
      <c r="AUS78" s="278" t="inlineStr"/>
      <c r="AUT78" s="278" t="inlineStr"/>
      <c r="AUU78" s="278" t="inlineStr"/>
      <c r="AUV78" s="278" t="inlineStr"/>
      <c r="AUW78" s="278" t="inlineStr"/>
      <c r="AUX78" s="278" t="inlineStr"/>
      <c r="AUY78" s="278" t="inlineStr"/>
      <c r="AUZ78" s="278" t="inlineStr"/>
      <c r="AVA78" s="278" t="inlineStr"/>
      <c r="AVB78" s="278" t="inlineStr"/>
      <c r="AVC78" s="278" t="inlineStr"/>
      <c r="AVD78" s="278" t="inlineStr"/>
      <c r="AVE78" s="278" t="inlineStr"/>
      <c r="AVF78" s="278" t="inlineStr"/>
      <c r="AVG78" s="278" t="inlineStr"/>
      <c r="AVH78" s="278" t="inlineStr"/>
      <c r="AVI78" s="278" t="inlineStr"/>
      <c r="AVJ78" s="278" t="inlineStr"/>
      <c r="AVK78" s="278" t="inlineStr"/>
      <c r="AVL78" s="278" t="inlineStr"/>
      <c r="AVM78" s="278" t="inlineStr"/>
      <c r="AVN78" s="278" t="inlineStr"/>
      <c r="AVO78" s="278" t="inlineStr"/>
      <c r="AVP78" s="278" t="inlineStr"/>
      <c r="AVQ78" s="278" t="inlineStr"/>
      <c r="AVR78" s="278" t="inlineStr"/>
      <c r="AVS78" s="278" t="inlineStr"/>
      <c r="AVT78" s="278" t="inlineStr"/>
      <c r="AVU78" s="278" t="inlineStr"/>
      <c r="AVV78" s="278" t="inlineStr"/>
      <c r="AVW78" s="278" t="inlineStr"/>
      <c r="AVX78" s="278" t="inlineStr"/>
      <c r="AVY78" s="278" t="inlineStr"/>
      <c r="AVZ78" s="278" t="inlineStr"/>
      <c r="AWA78" s="278" t="inlineStr"/>
      <c r="AWB78" s="278" t="inlineStr"/>
      <c r="AWC78" s="278" t="inlineStr"/>
      <c r="AWD78" s="278" t="inlineStr"/>
      <c r="AWE78" s="278" t="inlineStr"/>
      <c r="AWF78" s="278" t="inlineStr"/>
      <c r="AWG78" s="278" t="inlineStr"/>
      <c r="AWH78" s="278" t="inlineStr"/>
      <c r="AWI78" s="278" t="inlineStr"/>
      <c r="AWJ78" s="278" t="inlineStr"/>
      <c r="AWK78" s="278" t="inlineStr"/>
      <c r="AWL78" s="278" t="inlineStr"/>
      <c r="AWM78" s="278" t="inlineStr"/>
      <c r="AWN78" s="278" t="inlineStr"/>
      <c r="AWO78" s="278" t="inlineStr"/>
      <c r="AWP78" s="278" t="inlineStr"/>
      <c r="AWQ78" s="278" t="inlineStr"/>
      <c r="AWR78" s="278" t="inlineStr"/>
      <c r="AWS78" s="278" t="inlineStr"/>
      <c r="AWT78" s="278" t="inlineStr"/>
      <c r="AWU78" s="278" t="inlineStr"/>
      <c r="AWV78" s="278" t="inlineStr"/>
      <c r="AWW78" s="278" t="inlineStr"/>
      <c r="AWX78" s="278" t="inlineStr"/>
      <c r="AWY78" s="278" t="inlineStr"/>
      <c r="AWZ78" s="278" t="inlineStr"/>
      <c r="AXA78" s="278" t="inlineStr"/>
      <c r="AXB78" s="278" t="inlineStr"/>
      <c r="AXC78" s="278" t="inlineStr"/>
      <c r="AXD78" s="278" t="inlineStr"/>
      <c r="AXE78" s="278" t="inlineStr"/>
      <c r="AXF78" s="278" t="inlineStr"/>
      <c r="AXG78" s="278" t="inlineStr"/>
      <c r="AXH78" s="278" t="inlineStr"/>
      <c r="AXI78" s="278" t="inlineStr"/>
      <c r="AXJ78" s="278" t="inlineStr"/>
      <c r="AXK78" s="278" t="inlineStr"/>
      <c r="AXL78" s="278" t="inlineStr"/>
      <c r="AXM78" s="278" t="inlineStr"/>
      <c r="AXN78" s="278" t="inlineStr"/>
      <c r="AXO78" s="278" t="inlineStr"/>
      <c r="AXP78" s="278" t="inlineStr"/>
      <c r="AXQ78" s="278" t="inlineStr"/>
      <c r="AXR78" s="278" t="inlineStr"/>
      <c r="AXS78" s="278" t="inlineStr"/>
      <c r="AXT78" s="278" t="inlineStr"/>
      <c r="AXU78" s="278" t="inlineStr"/>
      <c r="AXV78" s="278" t="inlineStr"/>
      <c r="AXW78" s="278" t="inlineStr"/>
      <c r="AXX78" s="278" t="inlineStr"/>
      <c r="AXY78" s="278" t="inlineStr"/>
      <c r="AXZ78" s="278" t="inlineStr"/>
      <c r="AYA78" s="278" t="inlineStr"/>
      <c r="AYB78" s="278" t="inlineStr"/>
      <c r="AYC78" s="278" t="inlineStr"/>
      <c r="AYD78" s="278" t="inlineStr"/>
      <c r="AYE78" s="278" t="inlineStr"/>
      <c r="AYF78" s="278" t="inlineStr"/>
      <c r="AYG78" s="278" t="inlineStr"/>
      <c r="AYH78" s="278" t="inlineStr"/>
      <c r="AYI78" s="278" t="inlineStr"/>
      <c r="AYJ78" s="278" t="inlineStr"/>
      <c r="AYK78" s="278" t="inlineStr"/>
      <c r="AYL78" s="278" t="inlineStr"/>
      <c r="AYM78" s="278" t="inlineStr"/>
      <c r="AYN78" s="278" t="inlineStr"/>
      <c r="AYO78" s="278" t="inlineStr"/>
      <c r="AYP78" s="278" t="inlineStr"/>
      <c r="AYQ78" s="278" t="inlineStr"/>
      <c r="AYR78" s="278" t="inlineStr"/>
      <c r="AYS78" s="278" t="inlineStr"/>
      <c r="AYT78" s="278" t="inlineStr"/>
      <c r="AYU78" s="278" t="inlineStr"/>
      <c r="AYV78" s="278" t="inlineStr"/>
      <c r="AYW78" s="278" t="inlineStr"/>
      <c r="AYX78" s="278" t="inlineStr"/>
      <c r="AYY78" s="278" t="inlineStr"/>
      <c r="AYZ78" s="278" t="inlineStr"/>
      <c r="AZA78" s="278" t="inlineStr"/>
      <c r="AZB78" s="278" t="inlineStr"/>
      <c r="AZC78" s="278" t="inlineStr"/>
      <c r="AZD78" s="278" t="inlineStr"/>
      <c r="AZE78" s="278" t="inlineStr"/>
      <c r="AZF78" s="278" t="inlineStr"/>
      <c r="AZG78" s="278" t="inlineStr"/>
      <c r="AZH78" s="278" t="inlineStr"/>
      <c r="AZI78" s="278" t="inlineStr"/>
      <c r="AZJ78" s="278" t="inlineStr"/>
      <c r="AZK78" s="278" t="inlineStr"/>
      <c r="AZL78" s="278" t="inlineStr"/>
      <c r="AZM78" s="278" t="inlineStr"/>
      <c r="AZN78" s="278" t="inlineStr"/>
      <c r="AZO78" s="278" t="inlineStr"/>
      <c r="AZP78" s="278" t="inlineStr"/>
      <c r="AZQ78" s="278" t="inlineStr"/>
      <c r="AZR78" s="278" t="inlineStr"/>
      <c r="AZS78" s="278" t="inlineStr"/>
      <c r="AZT78" s="278" t="inlineStr"/>
      <c r="AZU78" s="278" t="inlineStr"/>
      <c r="AZV78" s="278" t="inlineStr"/>
      <c r="AZW78" s="278" t="inlineStr"/>
      <c r="AZX78" s="278" t="inlineStr"/>
      <c r="AZY78" s="278" t="inlineStr"/>
      <c r="AZZ78" s="278" t="inlineStr"/>
      <c r="BAA78" s="278" t="inlineStr"/>
      <c r="BAB78" s="278" t="inlineStr"/>
      <c r="BAC78" s="278" t="inlineStr"/>
      <c r="BAD78" s="278" t="inlineStr"/>
      <c r="BAE78" s="278" t="inlineStr"/>
      <c r="BAF78" s="278" t="inlineStr"/>
      <c r="BAG78" s="278" t="inlineStr"/>
      <c r="BAH78" s="278" t="inlineStr"/>
      <c r="BAI78" s="278" t="inlineStr"/>
      <c r="BAJ78" s="278" t="inlineStr"/>
      <c r="BAK78" s="278" t="inlineStr"/>
      <c r="BAL78" s="278" t="inlineStr"/>
      <c r="BAM78" s="278" t="inlineStr"/>
      <c r="BAN78" s="278" t="inlineStr"/>
      <c r="BAO78" s="278" t="inlineStr"/>
      <c r="BAP78" s="278" t="inlineStr"/>
      <c r="BAQ78" s="278" t="inlineStr"/>
      <c r="BAR78" s="278" t="inlineStr"/>
      <c r="BAS78" s="278" t="inlineStr"/>
      <c r="BAT78" s="278" t="inlineStr"/>
      <c r="BAU78" s="278" t="inlineStr"/>
      <c r="BAV78" s="278" t="inlineStr"/>
      <c r="BAW78" s="278" t="inlineStr"/>
      <c r="BAX78" s="278" t="inlineStr"/>
      <c r="BAY78" s="278" t="inlineStr"/>
      <c r="BAZ78" s="278" t="inlineStr"/>
      <c r="BBA78" s="278" t="inlineStr"/>
      <c r="BBB78" s="278" t="inlineStr"/>
      <c r="BBC78" s="278" t="inlineStr"/>
      <c r="BBD78" s="278" t="inlineStr"/>
      <c r="BBE78" s="278" t="inlineStr"/>
      <c r="BBF78" s="278" t="inlineStr"/>
      <c r="BBG78" s="278" t="inlineStr"/>
      <c r="BBH78" s="278" t="inlineStr"/>
      <c r="BBI78" s="278" t="inlineStr"/>
      <c r="BBJ78" s="278" t="inlineStr"/>
      <c r="BBK78" s="278" t="inlineStr"/>
      <c r="BBL78" s="278" t="inlineStr"/>
      <c r="BBM78" s="278" t="inlineStr"/>
      <c r="BBN78" s="278" t="inlineStr"/>
      <c r="BBO78" s="278" t="inlineStr"/>
      <c r="BBP78" s="278" t="inlineStr"/>
      <c r="BBQ78" s="278" t="inlineStr"/>
      <c r="BBR78" s="278" t="inlineStr"/>
      <c r="BBS78" s="278" t="inlineStr"/>
      <c r="BBT78" s="278" t="inlineStr"/>
      <c r="BBU78" s="278" t="inlineStr"/>
      <c r="BBV78" s="278" t="inlineStr"/>
      <c r="BBW78" s="278" t="inlineStr"/>
      <c r="BBX78" s="278" t="inlineStr"/>
      <c r="BBY78" s="278" t="inlineStr"/>
      <c r="BBZ78" s="278" t="inlineStr"/>
      <c r="BCA78" s="278" t="inlineStr"/>
      <c r="BCB78" s="278" t="inlineStr"/>
      <c r="BCC78" s="278" t="inlineStr"/>
      <c r="BCD78" s="278" t="inlineStr"/>
      <c r="BCE78" s="278" t="inlineStr"/>
      <c r="BCF78" s="278" t="inlineStr"/>
      <c r="BCG78" s="278" t="inlineStr"/>
      <c r="BCH78" s="278" t="inlineStr"/>
      <c r="BCI78" s="278" t="inlineStr"/>
      <c r="BCJ78" s="278" t="inlineStr"/>
      <c r="BCK78" s="278" t="inlineStr"/>
      <c r="BCL78" s="278" t="inlineStr"/>
      <c r="BCM78" s="278" t="inlineStr"/>
      <c r="BCN78" s="278" t="inlineStr"/>
      <c r="BCO78" s="278" t="inlineStr"/>
      <c r="BCP78" s="278" t="inlineStr"/>
      <c r="BCQ78" s="278" t="inlineStr"/>
      <c r="BCR78" s="278" t="inlineStr"/>
      <c r="BCS78" s="278" t="inlineStr"/>
      <c r="BCT78" s="278" t="inlineStr"/>
      <c r="BCU78" s="278" t="inlineStr"/>
      <c r="BCV78" s="278" t="inlineStr"/>
      <c r="BCW78" s="278" t="inlineStr"/>
      <c r="BCX78" s="278" t="inlineStr"/>
      <c r="BCY78" s="278" t="inlineStr"/>
      <c r="BCZ78" s="278" t="inlineStr"/>
      <c r="BDA78" s="278" t="inlineStr"/>
      <c r="BDB78" s="278" t="inlineStr"/>
      <c r="BDC78" s="278" t="inlineStr"/>
      <c r="BDD78" s="278" t="inlineStr"/>
      <c r="BDE78" s="278" t="inlineStr"/>
      <c r="BDF78" s="278" t="inlineStr"/>
      <c r="BDG78" s="278" t="inlineStr"/>
      <c r="BDH78" s="278" t="inlineStr"/>
      <c r="BDI78" s="278" t="inlineStr"/>
      <c r="BDJ78" s="278" t="inlineStr"/>
      <c r="BDK78" s="278" t="inlineStr"/>
      <c r="BDL78" s="278" t="inlineStr"/>
      <c r="BDM78" s="278" t="inlineStr"/>
      <c r="BDN78" s="278" t="inlineStr"/>
      <c r="BDO78" s="278" t="inlineStr"/>
      <c r="BDP78" s="278" t="inlineStr"/>
      <c r="BDQ78" s="278" t="inlineStr"/>
      <c r="BDR78" s="278" t="inlineStr"/>
      <c r="BDS78" s="278" t="inlineStr"/>
      <c r="BDT78" s="278" t="inlineStr"/>
      <c r="BDU78" s="278" t="inlineStr"/>
      <c r="BDV78" s="278" t="inlineStr"/>
      <c r="BDW78" s="278" t="inlineStr"/>
      <c r="BDX78" s="278" t="inlineStr"/>
      <c r="BDY78" s="278" t="inlineStr"/>
      <c r="BDZ78" s="278" t="inlineStr"/>
      <c r="BEA78" s="278" t="inlineStr"/>
      <c r="BEB78" s="278" t="inlineStr"/>
      <c r="BEC78" s="278" t="inlineStr"/>
      <c r="BED78" s="278" t="inlineStr"/>
      <c r="BEE78" s="278" t="inlineStr"/>
      <c r="BEF78" s="278" t="inlineStr"/>
      <c r="BEG78" s="278" t="inlineStr"/>
      <c r="BEH78" s="278" t="inlineStr"/>
      <c r="BEI78" s="278" t="inlineStr"/>
      <c r="BEJ78" s="278" t="inlineStr"/>
      <c r="BEK78" s="278" t="inlineStr"/>
      <c r="BEL78" s="278" t="inlineStr"/>
      <c r="BEM78" s="278" t="inlineStr"/>
      <c r="BEN78" s="278" t="inlineStr"/>
      <c r="BEO78" s="278" t="inlineStr"/>
      <c r="BEP78" s="278" t="inlineStr"/>
      <c r="BEQ78" s="278" t="inlineStr"/>
      <c r="BER78" s="278" t="inlineStr"/>
      <c r="BES78" s="278" t="inlineStr"/>
      <c r="BET78" s="278" t="inlineStr"/>
      <c r="BEU78" s="278" t="inlineStr"/>
      <c r="BEV78" s="278" t="inlineStr"/>
      <c r="BEW78" s="278" t="inlineStr"/>
      <c r="BEX78" s="278" t="inlineStr"/>
      <c r="BEY78" s="278" t="inlineStr"/>
      <c r="BEZ78" s="278" t="inlineStr"/>
      <c r="BFA78" s="278" t="inlineStr"/>
      <c r="BFB78" s="278" t="inlineStr"/>
      <c r="BFC78" s="278" t="inlineStr"/>
      <c r="BFD78" s="278" t="inlineStr"/>
      <c r="BFE78" s="278" t="inlineStr"/>
      <c r="BFF78" s="278" t="inlineStr"/>
      <c r="BFG78" s="278" t="inlineStr"/>
      <c r="BFH78" s="278" t="inlineStr"/>
      <c r="BFI78" s="278" t="inlineStr"/>
      <c r="BFJ78" s="278" t="inlineStr"/>
      <c r="BFK78" s="278" t="inlineStr"/>
      <c r="BFL78" s="278" t="inlineStr"/>
      <c r="BFM78" s="278" t="inlineStr"/>
      <c r="BFN78" s="278" t="inlineStr"/>
      <c r="BFO78" s="278" t="inlineStr"/>
      <c r="BFP78" s="278" t="inlineStr"/>
      <c r="BFQ78" s="278" t="inlineStr"/>
      <c r="BFR78" s="278" t="inlineStr"/>
      <c r="BFS78" s="278" t="inlineStr"/>
      <c r="BFT78" s="278" t="inlineStr"/>
      <c r="BFU78" s="278" t="inlineStr"/>
      <c r="BFV78" s="278" t="inlineStr"/>
      <c r="BFW78" s="278" t="inlineStr"/>
      <c r="BFX78" s="278" t="inlineStr"/>
      <c r="BFY78" s="278" t="inlineStr"/>
      <c r="BFZ78" s="278" t="inlineStr"/>
      <c r="BGA78" s="278" t="inlineStr"/>
      <c r="BGB78" s="278" t="inlineStr"/>
      <c r="BGC78" s="278" t="inlineStr"/>
      <c r="BGD78" s="278" t="inlineStr"/>
      <c r="BGE78" s="278" t="inlineStr"/>
      <c r="BGF78" s="278" t="inlineStr"/>
      <c r="BGG78" s="278" t="inlineStr"/>
      <c r="BGH78" s="278" t="inlineStr"/>
      <c r="BGI78" s="278" t="inlineStr"/>
      <c r="BGJ78" s="278" t="inlineStr"/>
      <c r="BGK78" s="278" t="inlineStr"/>
      <c r="BGL78" s="278" t="inlineStr"/>
      <c r="BGM78" s="278" t="inlineStr"/>
      <c r="BGN78" s="278" t="inlineStr"/>
      <c r="BGO78" s="278" t="inlineStr"/>
      <c r="BGP78" s="278" t="inlineStr"/>
      <c r="BGQ78" s="278" t="inlineStr"/>
      <c r="BGR78" s="278" t="inlineStr"/>
      <c r="BGS78" s="278" t="inlineStr"/>
      <c r="BGT78" s="278" t="inlineStr"/>
      <c r="BGU78" s="278" t="inlineStr"/>
      <c r="BGV78" s="278" t="inlineStr"/>
      <c r="BGW78" s="278" t="inlineStr"/>
      <c r="BGX78" s="278" t="inlineStr"/>
      <c r="BGY78" s="278" t="inlineStr"/>
      <c r="BGZ78" s="278" t="inlineStr"/>
      <c r="BHA78" s="278" t="inlineStr"/>
      <c r="BHB78" s="278" t="inlineStr"/>
      <c r="BHC78" s="278" t="inlineStr"/>
      <c r="BHD78" s="278" t="inlineStr"/>
      <c r="BHE78" s="278" t="inlineStr"/>
      <c r="BHF78" s="278" t="inlineStr"/>
      <c r="BHG78" s="278" t="inlineStr"/>
      <c r="BHH78" s="278" t="inlineStr"/>
      <c r="BHI78" s="278" t="inlineStr"/>
      <c r="BHJ78" s="278" t="inlineStr"/>
      <c r="BHK78" s="278" t="inlineStr"/>
      <c r="BHL78" s="278" t="inlineStr"/>
      <c r="BHM78" s="278" t="inlineStr"/>
      <c r="BHN78" s="278" t="inlineStr"/>
      <c r="BHO78" s="278" t="inlineStr"/>
      <c r="BHP78" s="278" t="inlineStr"/>
      <c r="BHQ78" s="278" t="inlineStr"/>
      <c r="BHR78" s="278" t="inlineStr"/>
      <c r="BHS78" s="278" t="inlineStr"/>
      <c r="BHT78" s="278" t="inlineStr"/>
      <c r="BHU78" s="278" t="inlineStr"/>
      <c r="BHV78" s="278" t="inlineStr"/>
      <c r="BHW78" s="278" t="inlineStr"/>
      <c r="BHX78" s="278" t="inlineStr"/>
      <c r="BHY78" s="278" t="inlineStr"/>
      <c r="BHZ78" s="278" t="inlineStr"/>
      <c r="BIA78" s="278" t="inlineStr"/>
      <c r="BIB78" s="278" t="inlineStr"/>
      <c r="BIC78" s="278" t="inlineStr"/>
      <c r="BID78" s="278" t="inlineStr"/>
      <c r="BIE78" s="278" t="inlineStr"/>
      <c r="BIF78" s="278" t="inlineStr"/>
      <c r="BIG78" s="278" t="inlineStr"/>
      <c r="BIH78" s="278" t="inlineStr"/>
      <c r="BII78" s="278" t="inlineStr"/>
      <c r="BIJ78" s="278" t="inlineStr"/>
      <c r="BIK78" s="278" t="inlineStr"/>
      <c r="BIL78" s="278" t="inlineStr"/>
      <c r="BIM78" s="278" t="inlineStr"/>
      <c r="BIN78" s="278" t="inlineStr"/>
      <c r="BIO78" s="278" t="inlineStr"/>
      <c r="BIP78" s="278" t="inlineStr"/>
      <c r="BIQ78" s="278" t="inlineStr"/>
      <c r="BIR78" s="278" t="inlineStr"/>
      <c r="BIS78" s="278" t="inlineStr"/>
      <c r="BIT78" s="278" t="inlineStr"/>
      <c r="BIU78" s="278" t="inlineStr"/>
      <c r="BIV78" s="278" t="inlineStr"/>
      <c r="BIW78" s="278" t="inlineStr"/>
      <c r="BIX78" s="278" t="inlineStr"/>
      <c r="BIY78" s="278" t="inlineStr"/>
      <c r="BIZ78" s="278" t="inlineStr"/>
      <c r="BJA78" s="278" t="inlineStr"/>
      <c r="BJB78" s="278" t="inlineStr"/>
      <c r="BJC78" s="278" t="inlineStr"/>
      <c r="BJD78" s="278" t="inlineStr"/>
      <c r="BJE78" s="278" t="inlineStr"/>
      <c r="BJF78" s="278" t="inlineStr"/>
      <c r="BJG78" s="278" t="inlineStr"/>
      <c r="BJH78" s="278" t="inlineStr"/>
      <c r="BJI78" s="278" t="inlineStr"/>
      <c r="BJJ78" s="278" t="inlineStr"/>
      <c r="BJK78" s="278" t="inlineStr"/>
      <c r="BJL78" s="278" t="inlineStr"/>
      <c r="BJM78" s="278" t="inlineStr"/>
      <c r="BJN78" s="278" t="inlineStr"/>
      <c r="BJO78" s="278" t="inlineStr"/>
      <c r="BJP78" s="278" t="inlineStr"/>
      <c r="BJQ78" s="278" t="inlineStr"/>
      <c r="BJR78" s="278" t="inlineStr"/>
      <c r="BJS78" s="278" t="inlineStr"/>
      <c r="BJT78" s="278" t="inlineStr"/>
      <c r="BJU78" s="278" t="inlineStr"/>
      <c r="BJV78" s="278" t="inlineStr"/>
      <c r="BJW78" s="278" t="inlineStr"/>
      <c r="BJX78" s="278" t="inlineStr"/>
      <c r="BJY78" s="278" t="inlineStr"/>
      <c r="BJZ78" s="278" t="inlineStr"/>
      <c r="BKA78" s="278" t="inlineStr"/>
      <c r="BKB78" s="278" t="inlineStr"/>
      <c r="BKC78" s="278" t="inlineStr"/>
      <c r="BKD78" s="278" t="inlineStr"/>
      <c r="BKE78" s="278" t="inlineStr"/>
      <c r="BKF78" s="278" t="inlineStr"/>
      <c r="BKG78" s="278" t="inlineStr"/>
      <c r="BKH78" s="278" t="inlineStr"/>
      <c r="BKI78" s="278" t="inlineStr"/>
      <c r="BKJ78" s="278" t="inlineStr"/>
      <c r="BKK78" s="278" t="inlineStr"/>
      <c r="BKL78" s="278" t="inlineStr"/>
      <c r="BKM78" s="278" t="inlineStr"/>
      <c r="BKN78" s="278" t="inlineStr"/>
      <c r="BKO78" s="278" t="inlineStr"/>
      <c r="BKP78" s="278" t="inlineStr"/>
      <c r="BKQ78" s="278" t="inlineStr"/>
      <c r="BKR78" s="278" t="inlineStr"/>
      <c r="BKS78" s="278" t="inlineStr"/>
      <c r="BKT78" s="278" t="inlineStr"/>
      <c r="BKU78" s="278" t="inlineStr"/>
      <c r="BKV78" s="278" t="inlineStr"/>
      <c r="BKW78" s="278" t="inlineStr"/>
      <c r="BKX78" s="278" t="inlineStr"/>
      <c r="BKY78" s="278" t="inlineStr"/>
      <c r="BKZ78" s="278" t="inlineStr"/>
      <c r="BLA78" s="278" t="inlineStr"/>
      <c r="BLB78" s="278" t="inlineStr"/>
      <c r="BLC78" s="278" t="inlineStr"/>
      <c r="BLD78" s="278" t="inlineStr"/>
      <c r="BLE78" s="278" t="inlineStr"/>
      <c r="BLF78" s="278" t="inlineStr"/>
      <c r="BLG78" s="278" t="inlineStr"/>
      <c r="BLH78" s="278" t="inlineStr"/>
      <c r="BLI78" s="278" t="inlineStr"/>
      <c r="BLJ78" s="278" t="inlineStr"/>
      <c r="BLK78" s="278" t="inlineStr"/>
      <c r="BLL78" s="278" t="inlineStr"/>
      <c r="BLM78" s="278" t="inlineStr"/>
      <c r="BLN78" s="278" t="inlineStr"/>
      <c r="BLO78" s="278" t="inlineStr"/>
      <c r="BLP78" s="278" t="inlineStr"/>
      <c r="BLQ78" s="278" t="inlineStr"/>
      <c r="BLR78" s="278" t="inlineStr"/>
      <c r="BLS78" s="278" t="inlineStr"/>
      <c r="BLT78" s="278" t="inlineStr"/>
      <c r="BLU78" s="278" t="inlineStr"/>
      <c r="BLV78" s="278" t="inlineStr"/>
      <c r="BLW78" s="278" t="inlineStr"/>
      <c r="BLX78" s="278" t="inlineStr"/>
      <c r="BLY78" s="278" t="inlineStr"/>
      <c r="BLZ78" s="278" t="inlineStr"/>
      <c r="BMA78" s="278" t="inlineStr"/>
      <c r="BMB78" s="278" t="inlineStr"/>
      <c r="BMC78" s="278" t="inlineStr"/>
      <c r="BMD78" s="278" t="inlineStr"/>
      <c r="BME78" s="278" t="inlineStr"/>
      <c r="BMF78" s="278" t="inlineStr"/>
      <c r="BMG78" s="278" t="inlineStr"/>
      <c r="BMH78" s="278" t="inlineStr"/>
      <c r="BMI78" s="278" t="inlineStr"/>
      <c r="BMJ78" s="278" t="inlineStr"/>
      <c r="BMK78" s="278" t="inlineStr"/>
      <c r="BML78" s="278" t="inlineStr"/>
      <c r="BMM78" s="278" t="inlineStr"/>
      <c r="BMN78" s="278" t="inlineStr"/>
      <c r="BMO78" s="278" t="inlineStr"/>
      <c r="BMP78" s="278" t="inlineStr"/>
      <c r="BMQ78" s="278" t="inlineStr"/>
      <c r="BMR78" s="278" t="inlineStr"/>
      <c r="BMS78" s="278" t="inlineStr"/>
      <c r="BMT78" s="278" t="inlineStr"/>
      <c r="BMU78" s="278" t="inlineStr"/>
      <c r="BMV78" s="278" t="inlineStr"/>
      <c r="BMW78" s="278" t="inlineStr"/>
      <c r="BMX78" s="278" t="inlineStr"/>
      <c r="BMY78" s="278" t="inlineStr"/>
      <c r="BMZ78" s="278" t="inlineStr"/>
      <c r="BNA78" s="278" t="inlineStr"/>
      <c r="BNB78" s="278" t="inlineStr"/>
      <c r="BNC78" s="278" t="inlineStr"/>
      <c r="BND78" s="278" t="inlineStr"/>
      <c r="BNE78" s="278" t="inlineStr"/>
      <c r="BNF78" s="278" t="inlineStr"/>
      <c r="BNG78" s="278" t="inlineStr"/>
      <c r="BNH78" s="278" t="inlineStr"/>
      <c r="BNI78" s="278" t="inlineStr"/>
      <c r="BNJ78" s="278" t="inlineStr"/>
      <c r="BNK78" s="278" t="inlineStr"/>
      <c r="BNL78" s="278" t="inlineStr"/>
      <c r="BNM78" s="278" t="inlineStr"/>
      <c r="BNN78" s="278" t="inlineStr"/>
      <c r="BNO78" s="278" t="inlineStr"/>
      <c r="BNP78" s="278" t="inlineStr"/>
      <c r="BNQ78" s="278" t="inlineStr"/>
      <c r="BNR78" s="278" t="inlineStr"/>
      <c r="BNS78" s="278" t="inlineStr"/>
      <c r="BNT78" s="278" t="inlineStr"/>
      <c r="BNU78" s="278" t="inlineStr"/>
      <c r="BNV78" s="278" t="inlineStr"/>
      <c r="BNW78" s="278" t="inlineStr"/>
      <c r="BNX78" s="278" t="inlineStr"/>
      <c r="BNY78" s="278" t="inlineStr"/>
      <c r="BNZ78" s="278" t="inlineStr"/>
      <c r="BOA78" s="278" t="inlineStr"/>
      <c r="BOB78" s="278" t="inlineStr"/>
      <c r="BOC78" s="278" t="inlineStr"/>
      <c r="BOD78" s="278" t="inlineStr"/>
      <c r="BOE78" s="278" t="inlineStr"/>
      <c r="BOF78" s="278" t="inlineStr"/>
      <c r="BOG78" s="278" t="inlineStr"/>
      <c r="BOH78" s="278" t="inlineStr"/>
      <c r="BOI78" s="278" t="inlineStr"/>
      <c r="BOJ78" s="278" t="inlineStr"/>
      <c r="BOK78" s="278" t="inlineStr"/>
      <c r="BOL78" s="278" t="inlineStr"/>
      <c r="BOM78" s="278" t="inlineStr"/>
      <c r="BON78" s="278" t="inlineStr"/>
      <c r="BOO78" s="278" t="inlineStr"/>
      <c r="BOP78" s="278" t="inlineStr"/>
      <c r="BOQ78" s="278" t="inlineStr"/>
      <c r="BOR78" s="278" t="inlineStr"/>
      <c r="BOS78" s="278" t="inlineStr"/>
      <c r="BOT78" s="278" t="inlineStr"/>
      <c r="BOU78" s="278" t="inlineStr"/>
      <c r="BOV78" s="278" t="inlineStr"/>
      <c r="BOW78" s="278" t="inlineStr"/>
      <c r="BOX78" s="278" t="inlineStr"/>
      <c r="BOY78" s="278" t="inlineStr"/>
      <c r="BOZ78" s="278" t="inlineStr"/>
      <c r="BPA78" s="278" t="inlineStr"/>
      <c r="BPB78" s="278" t="inlineStr"/>
      <c r="BPC78" s="278" t="inlineStr"/>
      <c r="BPD78" s="278" t="inlineStr"/>
      <c r="BPE78" s="278" t="inlineStr"/>
      <c r="BPF78" s="278" t="inlineStr"/>
      <c r="BPG78" s="278" t="inlineStr"/>
      <c r="BPH78" s="278" t="inlineStr"/>
      <c r="BPI78" s="278" t="inlineStr"/>
      <c r="BPJ78" s="278" t="inlineStr"/>
      <c r="BPK78" s="278" t="inlineStr"/>
      <c r="BPL78" s="278" t="inlineStr"/>
      <c r="BPM78" s="278" t="inlineStr"/>
      <c r="BPN78" s="278" t="inlineStr"/>
      <c r="BPO78" s="278" t="inlineStr"/>
      <c r="BPP78" s="278" t="inlineStr"/>
      <c r="BPQ78" s="278" t="inlineStr"/>
      <c r="BPR78" s="278" t="inlineStr"/>
      <c r="BPS78" s="278" t="inlineStr"/>
      <c r="BPT78" s="278" t="inlineStr"/>
      <c r="BPU78" s="278" t="inlineStr"/>
      <c r="BPV78" s="278" t="inlineStr"/>
      <c r="BPW78" s="278" t="inlineStr"/>
      <c r="BPX78" s="278" t="inlineStr"/>
      <c r="BPY78" s="278" t="inlineStr"/>
      <c r="BPZ78" s="278" t="inlineStr"/>
      <c r="BQA78" s="278" t="inlineStr"/>
      <c r="BQB78" s="278" t="inlineStr"/>
      <c r="BQC78" s="278" t="inlineStr"/>
      <c r="BQD78" s="278" t="inlineStr"/>
      <c r="BQE78" s="278" t="inlineStr"/>
      <c r="BQF78" s="278" t="inlineStr"/>
      <c r="BQG78" s="278" t="inlineStr"/>
      <c r="BQH78" s="278" t="inlineStr"/>
      <c r="BQI78" s="278" t="inlineStr"/>
      <c r="BQJ78" s="278" t="inlineStr"/>
      <c r="BQK78" s="278" t="inlineStr"/>
      <c r="BQL78" s="278" t="inlineStr"/>
      <c r="BQM78" s="278" t="inlineStr"/>
      <c r="BQN78" s="278" t="inlineStr"/>
      <c r="BQO78" s="278" t="inlineStr"/>
      <c r="BQP78" s="278" t="inlineStr"/>
      <c r="BQQ78" s="278" t="inlineStr"/>
      <c r="BQR78" s="278" t="inlineStr"/>
      <c r="BQS78" s="278" t="inlineStr"/>
      <c r="BQT78" s="278" t="inlineStr"/>
      <c r="BQU78" s="278" t="inlineStr"/>
      <c r="BQV78" s="278" t="inlineStr"/>
      <c r="BQW78" s="278" t="inlineStr"/>
      <c r="BQX78" s="278" t="inlineStr"/>
      <c r="BQY78" s="278" t="inlineStr"/>
      <c r="BQZ78" s="278" t="inlineStr"/>
      <c r="BRA78" s="278" t="inlineStr"/>
      <c r="BRB78" s="278" t="inlineStr"/>
      <c r="BRC78" s="278" t="inlineStr"/>
      <c r="BRD78" s="278" t="inlineStr"/>
      <c r="BRE78" s="278" t="inlineStr"/>
      <c r="BRF78" s="278" t="inlineStr"/>
      <c r="BRG78" s="278" t="inlineStr"/>
      <c r="BRH78" s="278" t="inlineStr"/>
      <c r="BRI78" s="278" t="inlineStr"/>
      <c r="BRJ78" s="278" t="inlineStr"/>
      <c r="BRK78" s="278" t="inlineStr"/>
      <c r="BRL78" s="278" t="inlineStr"/>
      <c r="BRM78" s="278" t="inlineStr"/>
      <c r="BRN78" s="278" t="inlineStr"/>
      <c r="BRO78" s="278" t="inlineStr"/>
      <c r="BRP78" s="278" t="inlineStr"/>
      <c r="BRQ78" s="278" t="inlineStr"/>
      <c r="BRR78" s="278" t="inlineStr"/>
      <c r="BRS78" s="278" t="inlineStr"/>
      <c r="BRT78" s="278" t="inlineStr"/>
      <c r="BRU78" s="278" t="inlineStr"/>
      <c r="BRV78" s="278" t="inlineStr"/>
      <c r="BRW78" s="278" t="inlineStr"/>
      <c r="BRX78" s="278" t="inlineStr"/>
      <c r="BRY78" s="278" t="inlineStr"/>
      <c r="BRZ78" s="278" t="inlineStr"/>
      <c r="BSA78" s="278" t="inlineStr"/>
      <c r="BSB78" s="278" t="inlineStr"/>
      <c r="BSC78" s="278" t="inlineStr"/>
      <c r="BSD78" s="278" t="inlineStr"/>
      <c r="BSE78" s="278" t="inlineStr"/>
      <c r="BSF78" s="278" t="inlineStr"/>
      <c r="BSG78" s="278" t="inlineStr"/>
      <c r="BSH78" s="278" t="inlineStr"/>
      <c r="BSI78" s="278" t="inlineStr"/>
      <c r="BSJ78" s="278" t="inlineStr"/>
      <c r="BSK78" s="278" t="inlineStr"/>
      <c r="BSL78" s="278" t="inlineStr"/>
      <c r="BSM78" s="278" t="inlineStr"/>
      <c r="BSN78" s="278" t="inlineStr"/>
      <c r="BSO78" s="278" t="inlineStr"/>
      <c r="BSP78" s="278" t="inlineStr"/>
      <c r="BSQ78" s="278" t="inlineStr"/>
      <c r="BSR78" s="278" t="inlineStr"/>
      <c r="BSS78" s="278" t="inlineStr"/>
      <c r="BST78" s="278" t="inlineStr"/>
      <c r="BSU78" s="278" t="inlineStr"/>
      <c r="BSV78" s="278" t="inlineStr"/>
      <c r="BSW78" s="278" t="inlineStr"/>
      <c r="BSX78" s="278" t="inlineStr"/>
      <c r="BSY78" s="278" t="inlineStr"/>
      <c r="BSZ78" s="278" t="inlineStr"/>
      <c r="BTA78" s="278" t="inlineStr"/>
      <c r="BTB78" s="278" t="inlineStr"/>
      <c r="BTC78" s="278" t="inlineStr"/>
      <c r="BTD78" s="278" t="inlineStr"/>
      <c r="BTE78" s="278" t="inlineStr"/>
      <c r="BTF78" s="278" t="inlineStr"/>
      <c r="BTG78" s="278" t="inlineStr"/>
      <c r="BTH78" s="278" t="inlineStr"/>
      <c r="BTI78" s="278" t="inlineStr"/>
      <c r="BTJ78" s="278" t="inlineStr"/>
      <c r="BTK78" s="278" t="inlineStr"/>
      <c r="BTL78" s="278" t="inlineStr"/>
      <c r="BTM78" s="278" t="inlineStr"/>
      <c r="BTN78" s="278" t="inlineStr"/>
      <c r="BTO78" s="278" t="inlineStr"/>
      <c r="BTP78" s="278" t="inlineStr"/>
      <c r="BTQ78" s="278" t="inlineStr"/>
      <c r="BTR78" s="278" t="inlineStr"/>
      <c r="BTS78" s="278" t="inlineStr"/>
      <c r="BTT78" s="278" t="inlineStr"/>
      <c r="BTU78" s="278" t="inlineStr"/>
      <c r="BTV78" s="278" t="inlineStr"/>
      <c r="BTW78" s="278" t="inlineStr"/>
      <c r="BTX78" s="278" t="inlineStr"/>
      <c r="BTY78" s="278" t="inlineStr"/>
      <c r="BTZ78" s="278" t="inlineStr"/>
      <c r="BUA78" s="278" t="inlineStr"/>
      <c r="BUB78" s="278" t="inlineStr"/>
      <c r="BUC78" s="278" t="inlineStr"/>
      <c r="BUD78" s="278" t="inlineStr"/>
      <c r="BUE78" s="278" t="inlineStr"/>
      <c r="BUF78" s="278" t="inlineStr"/>
      <c r="BUG78" s="278" t="inlineStr"/>
      <c r="BUH78" s="278" t="inlineStr"/>
      <c r="BUI78" s="278" t="inlineStr"/>
      <c r="BUJ78" s="278" t="inlineStr"/>
      <c r="BUK78" s="278" t="inlineStr"/>
      <c r="BUL78" s="278" t="inlineStr"/>
      <c r="BUM78" s="278" t="inlineStr"/>
      <c r="BUN78" s="278" t="inlineStr"/>
      <c r="BUO78" s="278" t="inlineStr"/>
      <c r="BUP78" s="278" t="inlineStr"/>
      <c r="BUQ78" s="278" t="inlineStr"/>
      <c r="BUR78" s="278" t="inlineStr"/>
      <c r="BUS78" s="278" t="inlineStr"/>
      <c r="BUT78" s="278" t="inlineStr"/>
      <c r="BUU78" s="278" t="inlineStr"/>
      <c r="BUV78" s="278" t="inlineStr"/>
      <c r="BUW78" s="278" t="inlineStr"/>
      <c r="BUX78" s="278" t="inlineStr"/>
      <c r="BUY78" s="278" t="inlineStr"/>
      <c r="BUZ78" s="278" t="inlineStr"/>
      <c r="BVA78" s="278" t="inlineStr"/>
      <c r="BVB78" s="278" t="inlineStr"/>
      <c r="BVC78" s="278" t="inlineStr"/>
      <c r="BVD78" s="278" t="inlineStr"/>
      <c r="BVE78" s="278" t="inlineStr"/>
      <c r="BVF78" s="278" t="inlineStr"/>
      <c r="BVG78" s="278" t="inlineStr"/>
      <c r="BVH78" s="278" t="inlineStr"/>
      <c r="BVI78" s="278" t="inlineStr"/>
      <c r="BVJ78" s="278" t="inlineStr"/>
      <c r="BVK78" s="278" t="inlineStr"/>
      <c r="BVL78" s="278" t="inlineStr"/>
      <c r="BVM78" s="278" t="inlineStr"/>
      <c r="BVN78" s="278" t="inlineStr"/>
      <c r="BVO78" s="278" t="inlineStr"/>
      <c r="BVP78" s="278" t="inlineStr"/>
      <c r="BVQ78" s="278" t="inlineStr"/>
      <c r="BVR78" s="278" t="inlineStr"/>
      <c r="BVS78" s="278" t="inlineStr"/>
      <c r="BVT78" s="278" t="inlineStr"/>
      <c r="BVU78" s="278" t="inlineStr"/>
      <c r="BVV78" s="278" t="inlineStr"/>
      <c r="BVW78" s="278" t="inlineStr"/>
      <c r="BVX78" s="278" t="inlineStr"/>
      <c r="BVY78" s="278" t="inlineStr"/>
      <c r="BVZ78" s="278" t="inlineStr"/>
      <c r="BWA78" s="278" t="inlineStr"/>
      <c r="BWB78" s="278" t="inlineStr"/>
      <c r="BWC78" s="278" t="inlineStr"/>
      <c r="BWD78" s="278" t="inlineStr"/>
      <c r="BWE78" s="278" t="inlineStr"/>
      <c r="BWF78" s="278" t="inlineStr"/>
      <c r="BWG78" s="278" t="inlineStr"/>
      <c r="BWH78" s="278" t="inlineStr"/>
      <c r="BWI78" s="278" t="inlineStr"/>
      <c r="BWJ78" s="278" t="inlineStr"/>
      <c r="BWK78" s="278" t="inlineStr"/>
      <c r="BWL78" s="278" t="inlineStr"/>
      <c r="BWM78" s="278" t="inlineStr"/>
      <c r="BWN78" s="278" t="inlineStr"/>
      <c r="BWO78" s="278" t="inlineStr"/>
      <c r="BWP78" s="278" t="inlineStr"/>
      <c r="BWQ78" s="278" t="inlineStr"/>
      <c r="BWR78" s="278" t="inlineStr"/>
      <c r="BWS78" s="278" t="inlineStr"/>
      <c r="BWT78" s="278" t="inlineStr"/>
      <c r="BWU78" s="278" t="inlineStr"/>
      <c r="BWV78" s="278" t="inlineStr"/>
      <c r="BWW78" s="278" t="inlineStr"/>
      <c r="BWX78" s="278" t="inlineStr"/>
      <c r="BWY78" s="278" t="inlineStr"/>
      <c r="BWZ78" s="278" t="inlineStr"/>
      <c r="BXA78" s="278" t="inlineStr"/>
      <c r="BXB78" s="278" t="inlineStr"/>
      <c r="BXC78" s="278" t="inlineStr"/>
      <c r="BXD78" s="278" t="inlineStr"/>
      <c r="BXE78" s="278" t="inlineStr"/>
      <c r="BXF78" s="278" t="inlineStr"/>
      <c r="BXG78" s="278" t="inlineStr"/>
      <c r="BXH78" s="278" t="inlineStr"/>
      <c r="BXI78" s="278" t="inlineStr"/>
      <c r="BXJ78" s="278" t="inlineStr"/>
      <c r="BXK78" s="278" t="inlineStr"/>
      <c r="BXL78" s="278" t="inlineStr"/>
      <c r="BXM78" s="278" t="inlineStr"/>
      <c r="BXN78" s="278" t="inlineStr"/>
      <c r="BXO78" s="278" t="inlineStr"/>
      <c r="BXP78" s="278" t="inlineStr"/>
      <c r="BXQ78" s="278" t="inlineStr"/>
      <c r="BXR78" s="278" t="inlineStr"/>
      <c r="BXS78" s="278" t="inlineStr"/>
      <c r="BXT78" s="278" t="inlineStr"/>
      <c r="BXU78" s="278" t="inlineStr"/>
      <c r="BXV78" s="278" t="inlineStr"/>
      <c r="BXW78" s="278" t="inlineStr"/>
      <c r="BXX78" s="278" t="inlineStr"/>
      <c r="BXY78" s="278" t="inlineStr"/>
      <c r="BXZ78" s="278" t="inlineStr"/>
      <c r="BYA78" s="278" t="inlineStr"/>
      <c r="BYB78" s="278" t="inlineStr"/>
      <c r="BYC78" s="278" t="inlineStr"/>
      <c r="BYD78" s="278" t="inlineStr"/>
      <c r="BYE78" s="278" t="inlineStr"/>
      <c r="BYF78" s="278" t="inlineStr"/>
      <c r="BYG78" s="278" t="inlineStr"/>
      <c r="BYH78" s="278" t="inlineStr"/>
      <c r="BYI78" s="278" t="inlineStr"/>
      <c r="BYJ78" s="278" t="inlineStr"/>
      <c r="BYK78" s="278" t="inlineStr"/>
      <c r="BYL78" s="278" t="inlineStr"/>
      <c r="BYM78" s="278" t="inlineStr"/>
      <c r="BYN78" s="278" t="inlineStr"/>
      <c r="BYO78" s="278" t="inlineStr"/>
      <c r="BYP78" s="278" t="inlineStr"/>
      <c r="BYQ78" s="278" t="inlineStr"/>
      <c r="BYR78" s="278" t="inlineStr"/>
      <c r="BYS78" s="278" t="inlineStr"/>
      <c r="BYT78" s="278" t="inlineStr"/>
      <c r="BYU78" s="278" t="inlineStr"/>
      <c r="BYV78" s="278" t="inlineStr"/>
      <c r="BYW78" s="278" t="inlineStr"/>
      <c r="BYX78" s="278" t="inlineStr"/>
      <c r="BYY78" s="278" t="inlineStr"/>
      <c r="BYZ78" s="278" t="inlineStr"/>
      <c r="BZA78" s="278" t="inlineStr"/>
      <c r="BZB78" s="278" t="inlineStr"/>
      <c r="BZC78" s="278" t="inlineStr"/>
      <c r="BZD78" s="278" t="inlineStr"/>
      <c r="BZE78" s="278" t="inlineStr"/>
      <c r="BZF78" s="278" t="inlineStr"/>
      <c r="BZG78" s="278" t="inlineStr"/>
      <c r="BZH78" s="278" t="inlineStr"/>
      <c r="BZI78" s="278" t="inlineStr"/>
      <c r="BZJ78" s="278" t="inlineStr"/>
      <c r="BZK78" s="278" t="inlineStr"/>
      <c r="BZL78" s="278" t="inlineStr"/>
      <c r="BZM78" s="278" t="inlineStr"/>
      <c r="BZN78" s="278" t="inlineStr"/>
      <c r="BZO78" s="278" t="inlineStr"/>
      <c r="BZP78" s="278" t="inlineStr"/>
      <c r="BZQ78" s="278" t="inlineStr"/>
      <c r="BZR78" s="278" t="inlineStr"/>
      <c r="BZS78" s="278" t="inlineStr"/>
      <c r="BZT78" s="278" t="inlineStr"/>
      <c r="BZU78" s="278" t="inlineStr"/>
      <c r="BZV78" s="278" t="inlineStr"/>
      <c r="BZW78" s="278" t="inlineStr"/>
      <c r="BZX78" s="278" t="inlineStr"/>
      <c r="BZY78" s="278" t="inlineStr"/>
      <c r="BZZ78" s="278" t="inlineStr"/>
      <c r="CAA78" s="278" t="inlineStr"/>
      <c r="CAB78" s="278" t="inlineStr"/>
      <c r="CAC78" s="278" t="inlineStr"/>
      <c r="CAD78" s="278" t="inlineStr"/>
      <c r="CAE78" s="278" t="inlineStr"/>
      <c r="CAF78" s="278" t="inlineStr"/>
      <c r="CAG78" s="278" t="inlineStr"/>
      <c r="CAH78" s="278" t="inlineStr"/>
      <c r="CAI78" s="278" t="inlineStr"/>
      <c r="CAJ78" s="278" t="inlineStr"/>
      <c r="CAK78" s="278" t="inlineStr"/>
      <c r="CAL78" s="278" t="inlineStr"/>
      <c r="CAM78" s="278" t="inlineStr"/>
      <c r="CAN78" s="278" t="inlineStr"/>
      <c r="CAO78" s="278" t="inlineStr"/>
      <c r="CAP78" s="278" t="inlineStr"/>
      <c r="CAQ78" s="278" t="inlineStr"/>
      <c r="CAR78" s="278" t="inlineStr"/>
      <c r="CAS78" s="278" t="inlineStr"/>
      <c r="CAT78" s="278" t="inlineStr"/>
      <c r="CAU78" s="278" t="inlineStr"/>
      <c r="CAV78" s="278" t="inlineStr"/>
      <c r="CAW78" s="278" t="inlineStr"/>
      <c r="CAX78" s="278" t="inlineStr"/>
      <c r="CAY78" s="278" t="inlineStr"/>
      <c r="CAZ78" s="278" t="inlineStr"/>
      <c r="CBA78" s="278" t="inlineStr"/>
      <c r="CBB78" s="278" t="inlineStr"/>
      <c r="CBC78" s="278" t="inlineStr"/>
      <c r="CBD78" s="278" t="inlineStr"/>
      <c r="CBE78" s="278" t="inlineStr"/>
      <c r="CBF78" s="278" t="inlineStr"/>
      <c r="CBG78" s="278" t="inlineStr"/>
      <c r="CBH78" s="278" t="inlineStr"/>
      <c r="CBI78" s="278" t="inlineStr"/>
      <c r="CBJ78" s="278" t="inlineStr"/>
      <c r="CBK78" s="278" t="inlineStr"/>
      <c r="CBL78" s="278" t="inlineStr"/>
      <c r="CBM78" s="278" t="inlineStr"/>
      <c r="CBN78" s="278" t="inlineStr"/>
      <c r="CBO78" s="278" t="inlineStr"/>
      <c r="CBP78" s="278" t="inlineStr"/>
      <c r="CBQ78" s="278" t="inlineStr"/>
      <c r="CBR78" s="278" t="inlineStr"/>
      <c r="CBS78" s="278" t="inlineStr"/>
      <c r="CBT78" s="278" t="inlineStr"/>
      <c r="CBU78" s="278" t="inlineStr"/>
      <c r="CBV78" s="278" t="inlineStr"/>
      <c r="CBW78" s="278" t="inlineStr"/>
      <c r="CBX78" s="278" t="inlineStr"/>
      <c r="CBY78" s="278" t="inlineStr"/>
      <c r="CBZ78" s="278" t="inlineStr"/>
      <c r="CCA78" s="278" t="inlineStr"/>
      <c r="CCB78" s="278" t="inlineStr"/>
      <c r="CCC78" s="278" t="inlineStr"/>
      <c r="CCD78" s="278" t="inlineStr"/>
      <c r="CCE78" s="278" t="inlineStr"/>
      <c r="CCF78" s="278" t="inlineStr"/>
      <c r="CCG78" s="278" t="inlineStr"/>
      <c r="CCH78" s="278" t="inlineStr"/>
      <c r="CCI78" s="278" t="inlineStr"/>
      <c r="CCJ78" s="278" t="inlineStr"/>
      <c r="CCK78" s="278" t="inlineStr"/>
      <c r="CCL78" s="278" t="inlineStr"/>
      <c r="CCM78" s="278" t="inlineStr"/>
      <c r="CCN78" s="278" t="inlineStr"/>
      <c r="CCO78" s="278" t="inlineStr"/>
      <c r="CCP78" s="278" t="inlineStr"/>
      <c r="CCQ78" s="278" t="inlineStr"/>
      <c r="CCR78" s="278" t="inlineStr"/>
      <c r="CCS78" s="278" t="inlineStr"/>
      <c r="CCT78" s="278" t="inlineStr"/>
      <c r="CCU78" s="278" t="inlineStr"/>
      <c r="CCV78" s="278" t="inlineStr"/>
      <c r="CCW78" s="278" t="inlineStr"/>
      <c r="CCX78" s="278" t="inlineStr"/>
      <c r="CCY78" s="278" t="inlineStr"/>
      <c r="CCZ78" s="278" t="inlineStr"/>
      <c r="CDA78" s="278" t="inlineStr"/>
      <c r="CDB78" s="278" t="inlineStr"/>
      <c r="CDC78" s="278" t="inlineStr"/>
      <c r="CDD78" s="278" t="inlineStr"/>
      <c r="CDE78" s="278" t="inlineStr"/>
      <c r="CDF78" s="278" t="inlineStr"/>
      <c r="CDG78" s="278" t="inlineStr"/>
      <c r="CDH78" s="278" t="inlineStr"/>
      <c r="CDI78" s="278" t="inlineStr"/>
      <c r="CDJ78" s="278" t="inlineStr"/>
      <c r="CDK78" s="278" t="inlineStr"/>
      <c r="CDL78" s="278" t="inlineStr"/>
      <c r="CDM78" s="278" t="inlineStr"/>
      <c r="CDN78" s="278" t="inlineStr"/>
      <c r="CDO78" s="278" t="inlineStr"/>
      <c r="CDP78" s="278" t="inlineStr"/>
      <c r="CDQ78" s="278" t="inlineStr"/>
      <c r="CDR78" s="278" t="inlineStr"/>
      <c r="CDS78" s="278" t="inlineStr"/>
      <c r="CDT78" s="278" t="inlineStr"/>
      <c r="CDU78" s="278" t="inlineStr"/>
      <c r="CDV78" s="278" t="inlineStr"/>
      <c r="CDW78" s="278" t="inlineStr"/>
      <c r="CDX78" s="278" t="inlineStr"/>
      <c r="CDY78" s="278" t="inlineStr"/>
      <c r="CDZ78" s="278" t="inlineStr"/>
      <c r="CEA78" s="278" t="inlineStr"/>
      <c r="CEB78" s="278" t="inlineStr"/>
      <c r="CEC78" s="278" t="inlineStr"/>
      <c r="CED78" s="278" t="inlineStr"/>
      <c r="CEE78" s="278" t="inlineStr"/>
      <c r="CEF78" s="278" t="inlineStr"/>
      <c r="CEG78" s="278" t="inlineStr"/>
      <c r="CEH78" s="278" t="inlineStr"/>
      <c r="CEI78" s="278" t="inlineStr"/>
      <c r="CEJ78" s="278" t="inlineStr"/>
      <c r="CEK78" s="278" t="inlineStr"/>
      <c r="CEL78" s="278" t="inlineStr"/>
      <c r="CEM78" s="278" t="inlineStr"/>
      <c r="CEN78" s="278" t="inlineStr"/>
      <c r="CEO78" s="278" t="inlineStr"/>
      <c r="CEP78" s="278" t="inlineStr"/>
      <c r="CEQ78" s="278" t="inlineStr"/>
      <c r="CER78" s="278" t="inlineStr"/>
      <c r="CES78" s="278" t="inlineStr"/>
      <c r="CET78" s="278" t="inlineStr"/>
      <c r="CEU78" s="278" t="inlineStr"/>
      <c r="CEV78" s="278" t="inlineStr"/>
      <c r="CEW78" s="278" t="inlineStr"/>
      <c r="CEX78" s="278" t="inlineStr"/>
      <c r="CEY78" s="278" t="inlineStr"/>
      <c r="CEZ78" s="278" t="inlineStr"/>
      <c r="CFA78" s="278" t="inlineStr"/>
      <c r="CFB78" s="278" t="inlineStr"/>
      <c r="CFC78" s="278" t="inlineStr"/>
      <c r="CFD78" s="278" t="inlineStr"/>
      <c r="CFE78" s="278" t="inlineStr"/>
      <c r="CFF78" s="278" t="inlineStr"/>
      <c r="CFG78" s="278" t="inlineStr"/>
      <c r="CFH78" s="278" t="inlineStr"/>
      <c r="CFI78" s="278" t="inlineStr"/>
      <c r="CFJ78" s="278" t="inlineStr"/>
      <c r="CFK78" s="278" t="inlineStr"/>
      <c r="CFL78" s="278" t="inlineStr"/>
      <c r="CFM78" s="278" t="inlineStr"/>
      <c r="CFN78" s="278" t="inlineStr"/>
      <c r="CFO78" s="278" t="inlineStr"/>
      <c r="CFP78" s="278" t="inlineStr"/>
      <c r="CFQ78" s="278" t="inlineStr"/>
      <c r="CFR78" s="278" t="inlineStr"/>
      <c r="CFS78" s="278" t="inlineStr"/>
      <c r="CFT78" s="278" t="inlineStr"/>
      <c r="CFU78" s="278" t="inlineStr"/>
      <c r="CFV78" s="278" t="inlineStr"/>
      <c r="CFW78" s="278" t="inlineStr"/>
      <c r="CFX78" s="278" t="inlineStr"/>
      <c r="CFY78" s="278" t="inlineStr"/>
      <c r="CFZ78" s="278" t="inlineStr"/>
      <c r="CGA78" s="278" t="inlineStr"/>
      <c r="CGB78" s="278" t="inlineStr"/>
      <c r="CGC78" s="278" t="inlineStr"/>
      <c r="CGD78" s="278" t="inlineStr"/>
      <c r="CGE78" s="278" t="inlineStr"/>
      <c r="CGF78" s="278" t="inlineStr"/>
      <c r="CGG78" s="278" t="inlineStr"/>
      <c r="CGH78" s="278" t="inlineStr"/>
      <c r="CGI78" s="278" t="inlineStr"/>
      <c r="CGJ78" s="278" t="inlineStr"/>
      <c r="CGK78" s="278" t="inlineStr"/>
      <c r="CGL78" s="278" t="inlineStr"/>
      <c r="CGM78" s="278" t="inlineStr"/>
      <c r="CGN78" s="278" t="inlineStr"/>
      <c r="CGO78" s="278" t="inlineStr"/>
      <c r="CGP78" s="278" t="inlineStr"/>
      <c r="CGQ78" s="278" t="inlineStr"/>
      <c r="CGR78" s="278" t="inlineStr"/>
      <c r="CGS78" s="278" t="inlineStr"/>
      <c r="CGT78" s="278" t="inlineStr"/>
      <c r="CGU78" s="278" t="inlineStr"/>
      <c r="CGV78" s="278" t="inlineStr"/>
      <c r="CGW78" s="278" t="inlineStr"/>
      <c r="CGX78" s="278" t="inlineStr"/>
      <c r="CGY78" s="278" t="inlineStr"/>
      <c r="CGZ78" s="278" t="inlineStr"/>
      <c r="CHA78" s="278" t="inlineStr"/>
      <c r="CHB78" s="278" t="inlineStr"/>
      <c r="CHC78" s="278" t="inlineStr"/>
      <c r="CHD78" s="278" t="inlineStr"/>
      <c r="CHE78" s="278" t="inlineStr"/>
      <c r="CHF78" s="278" t="inlineStr"/>
      <c r="CHG78" s="278" t="inlineStr"/>
      <c r="CHH78" s="278" t="inlineStr"/>
      <c r="CHI78" s="278" t="inlineStr"/>
      <c r="CHJ78" s="278" t="inlineStr"/>
      <c r="CHK78" s="278" t="inlineStr"/>
      <c r="CHL78" s="278" t="inlineStr"/>
      <c r="CHM78" s="278" t="inlineStr"/>
      <c r="CHN78" s="278" t="inlineStr"/>
      <c r="CHO78" s="278" t="inlineStr"/>
      <c r="CHP78" s="278" t="inlineStr"/>
      <c r="CHQ78" s="278" t="inlineStr"/>
      <c r="CHR78" s="278" t="inlineStr"/>
      <c r="CHS78" s="278" t="inlineStr"/>
      <c r="CHT78" s="278" t="inlineStr"/>
      <c r="CHU78" s="278" t="inlineStr"/>
      <c r="CHV78" s="278" t="inlineStr"/>
      <c r="CHW78" s="278" t="inlineStr"/>
      <c r="CHX78" s="278" t="inlineStr"/>
      <c r="CHY78" s="278" t="inlineStr"/>
      <c r="CHZ78" s="278" t="inlineStr"/>
      <c r="CIA78" s="278" t="inlineStr"/>
      <c r="CIB78" s="278" t="inlineStr"/>
      <c r="CIC78" s="278" t="inlineStr"/>
      <c r="CID78" s="278" t="inlineStr"/>
      <c r="CIE78" s="278" t="inlineStr"/>
      <c r="CIF78" s="278" t="inlineStr"/>
      <c r="CIG78" s="278" t="inlineStr"/>
      <c r="CIH78" s="278" t="inlineStr"/>
      <c r="CII78" s="278" t="inlineStr"/>
      <c r="CIJ78" s="278" t="inlineStr"/>
      <c r="CIK78" s="278" t="inlineStr"/>
      <c r="CIL78" s="278" t="inlineStr"/>
      <c r="CIM78" s="278" t="inlineStr"/>
      <c r="CIN78" s="278" t="inlineStr"/>
      <c r="CIO78" s="278" t="inlineStr"/>
      <c r="CIP78" s="278" t="inlineStr"/>
      <c r="CIQ78" s="278" t="inlineStr"/>
      <c r="CIR78" s="278" t="inlineStr"/>
      <c r="CIS78" s="278" t="inlineStr"/>
      <c r="CIT78" s="278" t="inlineStr"/>
      <c r="CIU78" s="278" t="inlineStr"/>
      <c r="CIV78" s="278" t="inlineStr"/>
      <c r="CIW78" s="278" t="inlineStr"/>
      <c r="CIX78" s="278" t="inlineStr"/>
      <c r="CIY78" s="278" t="inlineStr"/>
      <c r="CIZ78" s="278" t="inlineStr"/>
      <c r="CJA78" s="278" t="inlineStr"/>
      <c r="CJB78" s="278" t="inlineStr"/>
      <c r="CJC78" s="278" t="inlineStr"/>
      <c r="CJD78" s="278" t="inlineStr"/>
      <c r="CJE78" s="278" t="inlineStr"/>
      <c r="CJF78" s="278" t="inlineStr"/>
      <c r="CJG78" s="278" t="inlineStr"/>
      <c r="CJH78" s="278" t="inlineStr"/>
      <c r="CJI78" s="278" t="inlineStr"/>
      <c r="CJJ78" s="278" t="inlineStr"/>
      <c r="CJK78" s="278" t="inlineStr"/>
      <c r="CJL78" s="278" t="inlineStr"/>
      <c r="CJM78" s="278" t="inlineStr"/>
      <c r="CJN78" s="278" t="inlineStr"/>
      <c r="CJO78" s="278" t="inlineStr"/>
      <c r="CJP78" s="278" t="inlineStr"/>
      <c r="CJQ78" s="278" t="inlineStr"/>
      <c r="CJR78" s="278" t="inlineStr"/>
      <c r="CJS78" s="278" t="inlineStr"/>
      <c r="CJT78" s="278" t="inlineStr"/>
      <c r="CJU78" s="278" t="inlineStr"/>
      <c r="CJV78" s="278" t="inlineStr"/>
      <c r="CJW78" s="278" t="inlineStr"/>
      <c r="CJX78" s="278" t="inlineStr"/>
      <c r="CJY78" s="278" t="inlineStr"/>
      <c r="CJZ78" s="278" t="inlineStr"/>
      <c r="CKA78" s="278" t="inlineStr"/>
      <c r="CKB78" s="278" t="inlineStr"/>
      <c r="CKC78" s="278" t="inlineStr"/>
      <c r="CKD78" s="278" t="inlineStr"/>
      <c r="CKE78" s="278" t="inlineStr"/>
      <c r="CKF78" s="278" t="inlineStr"/>
      <c r="CKG78" s="278" t="inlineStr"/>
      <c r="CKH78" s="278" t="inlineStr"/>
      <c r="CKI78" s="278" t="inlineStr"/>
      <c r="CKJ78" s="278" t="inlineStr"/>
      <c r="CKK78" s="278" t="inlineStr"/>
      <c r="CKL78" s="278" t="inlineStr"/>
      <c r="CKM78" s="278" t="inlineStr"/>
      <c r="CKN78" s="278" t="inlineStr"/>
      <c r="CKO78" s="278" t="inlineStr"/>
      <c r="CKP78" s="278" t="inlineStr"/>
      <c r="CKQ78" s="278" t="inlineStr"/>
      <c r="CKR78" s="278" t="inlineStr"/>
      <c r="CKS78" s="278" t="inlineStr"/>
      <c r="CKT78" s="278" t="inlineStr"/>
      <c r="CKU78" s="278" t="inlineStr"/>
      <c r="CKV78" s="278" t="inlineStr"/>
      <c r="CKW78" s="278" t="inlineStr"/>
      <c r="CKX78" s="278" t="inlineStr"/>
      <c r="CKY78" s="278" t="inlineStr"/>
      <c r="CKZ78" s="278" t="inlineStr"/>
      <c r="CLA78" s="278" t="inlineStr"/>
      <c r="CLB78" s="278" t="inlineStr"/>
      <c r="CLC78" s="278" t="inlineStr"/>
      <c r="CLD78" s="278" t="inlineStr"/>
      <c r="CLE78" s="278" t="inlineStr"/>
      <c r="CLF78" s="278" t="inlineStr"/>
      <c r="CLG78" s="278" t="inlineStr"/>
      <c r="CLH78" s="278" t="inlineStr"/>
      <c r="CLI78" s="278" t="inlineStr"/>
      <c r="CLJ78" s="278" t="inlineStr"/>
      <c r="CLK78" s="278" t="inlineStr"/>
      <c r="CLL78" s="278" t="inlineStr"/>
      <c r="CLM78" s="278" t="inlineStr"/>
      <c r="CLN78" s="278" t="inlineStr"/>
      <c r="CLO78" s="278" t="inlineStr"/>
      <c r="CLP78" s="278" t="inlineStr"/>
      <c r="CLQ78" s="278" t="inlineStr"/>
      <c r="CLR78" s="278" t="inlineStr"/>
      <c r="CLS78" s="278" t="inlineStr"/>
      <c r="CLT78" s="278" t="inlineStr"/>
      <c r="CLU78" s="278" t="inlineStr"/>
      <c r="CLV78" s="278" t="inlineStr"/>
      <c r="CLW78" s="278" t="inlineStr"/>
      <c r="CLX78" s="278" t="inlineStr"/>
      <c r="CLY78" s="278" t="inlineStr"/>
      <c r="CLZ78" s="278" t="inlineStr"/>
      <c r="CMA78" s="278" t="inlineStr"/>
      <c r="CMB78" s="278" t="inlineStr"/>
      <c r="CMC78" s="278" t="inlineStr"/>
      <c r="CMD78" s="278" t="inlineStr"/>
      <c r="CME78" s="278" t="inlineStr"/>
      <c r="CMF78" s="278" t="inlineStr"/>
      <c r="CMG78" s="278" t="inlineStr"/>
      <c r="CMH78" s="278" t="inlineStr"/>
      <c r="CMI78" s="278" t="inlineStr"/>
      <c r="CMJ78" s="278" t="inlineStr"/>
      <c r="CMK78" s="278" t="inlineStr"/>
      <c r="CML78" s="278" t="inlineStr"/>
      <c r="CMM78" s="278" t="inlineStr"/>
      <c r="CMN78" s="278" t="inlineStr"/>
      <c r="CMO78" s="278" t="inlineStr"/>
      <c r="CMP78" s="278" t="inlineStr"/>
      <c r="CMQ78" s="278" t="inlineStr"/>
      <c r="CMR78" s="278" t="inlineStr"/>
      <c r="CMS78" s="278" t="inlineStr"/>
      <c r="CMT78" s="278" t="inlineStr"/>
      <c r="CMU78" s="278" t="inlineStr"/>
      <c r="CMV78" s="278" t="inlineStr"/>
      <c r="CMW78" s="278" t="inlineStr"/>
      <c r="CMX78" s="278" t="inlineStr"/>
      <c r="CMY78" s="278" t="inlineStr"/>
      <c r="CMZ78" s="278" t="inlineStr"/>
      <c r="CNA78" s="278" t="inlineStr"/>
      <c r="CNB78" s="278" t="inlineStr"/>
      <c r="CNC78" s="278" t="inlineStr"/>
      <c r="CND78" s="278" t="inlineStr"/>
      <c r="CNE78" s="278" t="inlineStr"/>
      <c r="CNF78" s="278" t="inlineStr"/>
      <c r="CNG78" s="278" t="inlineStr"/>
      <c r="CNH78" s="278" t="inlineStr"/>
      <c r="CNI78" s="278" t="inlineStr"/>
      <c r="CNJ78" s="278" t="inlineStr"/>
      <c r="CNK78" s="278" t="inlineStr"/>
      <c r="CNL78" s="278" t="inlineStr"/>
      <c r="CNM78" s="278" t="inlineStr"/>
      <c r="CNN78" s="278" t="inlineStr"/>
      <c r="CNO78" s="278" t="inlineStr"/>
      <c r="CNP78" s="278" t="inlineStr"/>
      <c r="CNQ78" s="278" t="inlineStr"/>
      <c r="CNR78" s="278" t="inlineStr"/>
      <c r="CNS78" s="278" t="inlineStr"/>
      <c r="CNT78" s="278" t="inlineStr"/>
      <c r="CNU78" s="278" t="inlineStr"/>
      <c r="CNV78" s="278" t="inlineStr"/>
      <c r="CNW78" s="278" t="inlineStr"/>
      <c r="CNX78" s="278" t="inlineStr"/>
      <c r="CNY78" s="278" t="inlineStr"/>
      <c r="CNZ78" s="278" t="inlineStr"/>
      <c r="COA78" s="278" t="inlineStr"/>
      <c r="COB78" s="278" t="inlineStr"/>
      <c r="COC78" s="278" t="inlineStr"/>
      <c r="COD78" s="278" t="inlineStr"/>
      <c r="COE78" s="278" t="inlineStr"/>
      <c r="COF78" s="278" t="inlineStr"/>
      <c r="COG78" s="278" t="inlineStr"/>
      <c r="COH78" s="278" t="inlineStr"/>
      <c r="COI78" s="278" t="inlineStr"/>
      <c r="COJ78" s="278" t="inlineStr"/>
      <c r="COK78" s="278" t="inlineStr"/>
      <c r="COL78" s="278" t="inlineStr"/>
      <c r="COM78" s="278" t="inlineStr"/>
      <c r="CON78" s="278" t="inlineStr"/>
      <c r="COO78" s="278" t="inlineStr"/>
      <c r="COP78" s="278" t="inlineStr"/>
      <c r="COQ78" s="278" t="inlineStr"/>
      <c r="COR78" s="278" t="inlineStr"/>
      <c r="COS78" s="278" t="inlineStr"/>
      <c r="COT78" s="278" t="inlineStr"/>
      <c r="COU78" s="278" t="inlineStr"/>
      <c r="COV78" s="278" t="inlineStr"/>
      <c r="COW78" s="278" t="inlineStr"/>
      <c r="COX78" s="278" t="inlineStr"/>
      <c r="COY78" s="278" t="inlineStr"/>
      <c r="COZ78" s="278" t="inlineStr"/>
      <c r="CPA78" s="278" t="inlineStr"/>
      <c r="CPB78" s="278" t="inlineStr"/>
      <c r="CPC78" s="278" t="inlineStr"/>
      <c r="CPD78" s="278" t="inlineStr"/>
      <c r="CPE78" s="278" t="inlineStr"/>
      <c r="CPF78" s="278" t="inlineStr"/>
      <c r="CPG78" s="278" t="inlineStr"/>
      <c r="CPH78" s="278" t="inlineStr"/>
      <c r="CPI78" s="278" t="inlineStr"/>
      <c r="CPJ78" s="278" t="inlineStr"/>
      <c r="CPK78" s="278" t="inlineStr"/>
      <c r="CPL78" s="278" t="inlineStr"/>
      <c r="CPM78" s="278" t="inlineStr"/>
      <c r="CPN78" s="278" t="inlineStr"/>
      <c r="CPO78" s="278" t="inlineStr"/>
      <c r="CPP78" s="278" t="inlineStr"/>
      <c r="CPQ78" s="278" t="inlineStr"/>
      <c r="CPR78" s="278" t="inlineStr"/>
      <c r="CPS78" s="278" t="inlineStr"/>
      <c r="CPT78" s="278" t="inlineStr"/>
      <c r="CPU78" s="278" t="inlineStr"/>
      <c r="CPV78" s="278" t="inlineStr"/>
      <c r="CPW78" s="278" t="inlineStr"/>
      <c r="CPX78" s="278" t="inlineStr"/>
      <c r="CPY78" s="278" t="inlineStr"/>
      <c r="CPZ78" s="278" t="inlineStr"/>
      <c r="CQA78" s="278" t="inlineStr"/>
      <c r="CQB78" s="278" t="inlineStr"/>
      <c r="CQC78" s="278" t="inlineStr"/>
      <c r="CQD78" s="278" t="inlineStr"/>
      <c r="CQE78" s="278" t="inlineStr"/>
      <c r="CQF78" s="278" t="inlineStr"/>
      <c r="CQG78" s="278" t="inlineStr"/>
      <c r="CQH78" s="278" t="inlineStr"/>
      <c r="CQI78" s="278" t="inlineStr"/>
      <c r="CQJ78" s="278" t="inlineStr"/>
      <c r="CQK78" s="278" t="inlineStr"/>
      <c r="CQL78" s="278" t="inlineStr"/>
      <c r="CQM78" s="278" t="inlineStr"/>
      <c r="CQN78" s="278" t="inlineStr"/>
      <c r="CQO78" s="278" t="inlineStr"/>
      <c r="CQP78" s="278" t="inlineStr"/>
      <c r="CQQ78" s="278" t="inlineStr"/>
      <c r="CQR78" s="278" t="inlineStr"/>
      <c r="CQS78" s="278" t="inlineStr"/>
      <c r="CQT78" s="278" t="inlineStr"/>
      <c r="CQU78" s="278" t="inlineStr"/>
      <c r="CQV78" s="278" t="inlineStr"/>
      <c r="CQW78" s="278" t="inlineStr"/>
      <c r="CQX78" s="278" t="inlineStr"/>
      <c r="CQY78" s="278" t="inlineStr"/>
      <c r="CQZ78" s="278" t="inlineStr"/>
      <c r="CRA78" s="278" t="inlineStr"/>
      <c r="CRB78" s="278" t="inlineStr"/>
      <c r="CRC78" s="278" t="inlineStr"/>
      <c r="CRD78" s="278" t="inlineStr"/>
      <c r="CRE78" s="278" t="inlineStr"/>
      <c r="CRF78" s="278" t="inlineStr"/>
      <c r="CRG78" s="278" t="inlineStr"/>
      <c r="CRH78" s="278" t="inlineStr"/>
      <c r="CRI78" s="278" t="inlineStr"/>
      <c r="CRJ78" s="278" t="inlineStr"/>
      <c r="CRK78" s="278" t="inlineStr"/>
      <c r="CRL78" s="278" t="inlineStr"/>
      <c r="CRM78" s="278" t="inlineStr"/>
      <c r="CRN78" s="278" t="inlineStr"/>
      <c r="CRO78" s="278" t="inlineStr"/>
      <c r="CRP78" s="278" t="inlineStr"/>
      <c r="CRQ78" s="278" t="inlineStr"/>
      <c r="CRR78" s="278" t="inlineStr"/>
      <c r="CRS78" s="278" t="inlineStr"/>
      <c r="CRT78" s="278" t="inlineStr"/>
      <c r="CRU78" s="278" t="inlineStr"/>
      <c r="CRV78" s="278" t="inlineStr"/>
      <c r="CRW78" s="278" t="inlineStr"/>
      <c r="CRX78" s="278" t="inlineStr"/>
      <c r="CRY78" s="278" t="inlineStr"/>
      <c r="CRZ78" s="278" t="inlineStr"/>
      <c r="CSA78" s="278" t="inlineStr"/>
      <c r="CSB78" s="278" t="inlineStr"/>
      <c r="CSC78" s="278" t="inlineStr"/>
      <c r="CSD78" s="278" t="inlineStr"/>
      <c r="CSE78" s="278" t="inlineStr"/>
      <c r="CSF78" s="278" t="inlineStr"/>
      <c r="CSG78" s="278" t="inlineStr"/>
      <c r="CSH78" s="278" t="inlineStr"/>
      <c r="CSI78" s="278" t="inlineStr"/>
      <c r="CSJ78" s="278" t="inlineStr"/>
      <c r="CSK78" s="278" t="inlineStr"/>
      <c r="CSL78" s="278" t="inlineStr"/>
      <c r="CSM78" s="278" t="inlineStr"/>
      <c r="CSN78" s="278" t="inlineStr"/>
      <c r="CSO78" s="278" t="inlineStr"/>
      <c r="CSP78" s="278" t="inlineStr"/>
      <c r="CSQ78" s="278" t="inlineStr"/>
      <c r="CSR78" s="278" t="inlineStr"/>
      <c r="CSS78" s="278" t="inlineStr"/>
      <c r="CST78" s="278" t="inlineStr"/>
      <c r="CSU78" s="278" t="inlineStr"/>
      <c r="CSV78" s="278" t="inlineStr"/>
      <c r="CSW78" s="278" t="inlineStr"/>
      <c r="CSX78" s="278" t="inlineStr"/>
      <c r="CSY78" s="278" t="inlineStr"/>
      <c r="CSZ78" s="278" t="inlineStr"/>
      <c r="CTA78" s="278" t="inlineStr"/>
      <c r="CTB78" s="278" t="inlineStr"/>
      <c r="CTC78" s="278" t="inlineStr"/>
      <c r="CTD78" s="278" t="inlineStr"/>
      <c r="CTE78" s="278" t="inlineStr"/>
      <c r="CTF78" s="278" t="inlineStr"/>
      <c r="CTG78" s="278" t="inlineStr"/>
      <c r="CTH78" s="278" t="inlineStr"/>
      <c r="CTI78" s="278" t="inlineStr"/>
      <c r="CTJ78" s="278" t="inlineStr"/>
      <c r="CTK78" s="278" t="inlineStr"/>
      <c r="CTL78" s="278" t="inlineStr"/>
      <c r="CTM78" s="278" t="inlineStr"/>
      <c r="CTN78" s="278" t="inlineStr"/>
      <c r="CTO78" s="278" t="inlineStr"/>
      <c r="CTP78" s="278" t="inlineStr"/>
      <c r="CTQ78" s="278" t="inlineStr"/>
      <c r="CTR78" s="278" t="inlineStr"/>
      <c r="CTS78" s="278" t="inlineStr"/>
      <c r="CTT78" s="278" t="inlineStr"/>
      <c r="CTU78" s="278" t="inlineStr"/>
      <c r="CTV78" s="278" t="inlineStr"/>
      <c r="CTW78" s="278" t="inlineStr"/>
      <c r="CTX78" s="278" t="inlineStr"/>
      <c r="CTY78" s="278" t="inlineStr"/>
      <c r="CTZ78" s="278" t="inlineStr"/>
      <c r="CUA78" s="278" t="inlineStr"/>
      <c r="CUB78" s="278" t="inlineStr"/>
      <c r="CUC78" s="278" t="inlineStr"/>
      <c r="CUD78" s="278" t="inlineStr"/>
      <c r="CUE78" s="278" t="inlineStr"/>
      <c r="CUF78" s="278" t="inlineStr"/>
      <c r="CUG78" s="278" t="inlineStr"/>
      <c r="CUH78" s="278" t="inlineStr"/>
      <c r="CUI78" s="278" t="inlineStr"/>
      <c r="CUJ78" s="278" t="inlineStr"/>
      <c r="CUK78" s="278" t="inlineStr"/>
      <c r="CUL78" s="278" t="inlineStr"/>
      <c r="CUM78" s="278" t="inlineStr"/>
      <c r="CUN78" s="278" t="inlineStr"/>
      <c r="CUO78" s="278" t="inlineStr"/>
      <c r="CUP78" s="278" t="inlineStr"/>
      <c r="CUQ78" s="278" t="inlineStr"/>
      <c r="CUR78" s="278" t="inlineStr"/>
      <c r="CUS78" s="278" t="inlineStr"/>
      <c r="CUT78" s="278" t="inlineStr"/>
      <c r="CUU78" s="278" t="inlineStr"/>
      <c r="CUV78" s="278" t="inlineStr"/>
      <c r="CUW78" s="278" t="inlineStr"/>
      <c r="CUX78" s="278" t="inlineStr"/>
      <c r="CUY78" s="278" t="inlineStr"/>
      <c r="CUZ78" s="278" t="inlineStr"/>
      <c r="CVA78" s="278" t="inlineStr"/>
      <c r="CVB78" s="278" t="inlineStr"/>
      <c r="CVC78" s="278" t="inlineStr"/>
      <c r="CVD78" s="278" t="inlineStr"/>
      <c r="CVE78" s="278" t="inlineStr"/>
      <c r="CVF78" s="278" t="inlineStr"/>
      <c r="CVG78" s="278" t="inlineStr"/>
      <c r="CVH78" s="278" t="inlineStr"/>
      <c r="CVI78" s="278" t="inlineStr"/>
      <c r="CVJ78" s="278" t="inlineStr"/>
      <c r="CVK78" s="278" t="inlineStr"/>
      <c r="CVL78" s="278" t="inlineStr"/>
      <c r="CVM78" s="278" t="inlineStr"/>
      <c r="CVN78" s="278" t="inlineStr"/>
      <c r="CVO78" s="278" t="inlineStr"/>
      <c r="CVP78" s="278" t="inlineStr"/>
      <c r="CVQ78" s="278" t="inlineStr"/>
      <c r="CVR78" s="278" t="inlineStr"/>
      <c r="CVS78" s="278" t="inlineStr"/>
      <c r="CVT78" s="278" t="inlineStr"/>
      <c r="CVU78" s="278" t="inlineStr"/>
      <c r="CVV78" s="278" t="inlineStr"/>
      <c r="CVW78" s="278" t="inlineStr"/>
      <c r="CVX78" s="278" t="inlineStr"/>
      <c r="CVY78" s="278" t="inlineStr"/>
      <c r="CVZ78" s="278" t="inlineStr"/>
      <c r="CWA78" s="278" t="inlineStr"/>
      <c r="CWB78" s="278" t="inlineStr"/>
      <c r="CWC78" s="278" t="inlineStr"/>
      <c r="CWD78" s="278" t="inlineStr"/>
      <c r="CWE78" s="278" t="inlineStr"/>
      <c r="CWF78" s="278" t="inlineStr"/>
      <c r="CWG78" s="278" t="inlineStr"/>
      <c r="CWH78" s="278" t="inlineStr"/>
      <c r="CWI78" s="278" t="inlineStr"/>
      <c r="CWJ78" s="278" t="inlineStr"/>
      <c r="CWK78" s="278" t="inlineStr"/>
      <c r="CWL78" s="278" t="inlineStr"/>
      <c r="CWM78" s="278" t="inlineStr"/>
      <c r="CWN78" s="278" t="inlineStr"/>
      <c r="CWO78" s="278" t="inlineStr"/>
      <c r="CWP78" s="278" t="inlineStr"/>
      <c r="CWQ78" s="278" t="inlineStr"/>
      <c r="CWR78" s="278" t="inlineStr"/>
      <c r="CWS78" s="278" t="inlineStr"/>
      <c r="CWT78" s="278" t="inlineStr"/>
      <c r="CWU78" s="278" t="inlineStr"/>
      <c r="CWV78" s="278" t="inlineStr"/>
      <c r="CWW78" s="278" t="inlineStr"/>
      <c r="CWX78" s="278" t="inlineStr"/>
      <c r="CWY78" s="278" t="inlineStr"/>
      <c r="CWZ78" s="278" t="inlineStr"/>
      <c r="CXA78" s="278" t="inlineStr"/>
      <c r="CXB78" s="278" t="inlineStr"/>
      <c r="CXC78" s="278" t="inlineStr"/>
      <c r="CXD78" s="278" t="inlineStr"/>
      <c r="CXE78" s="278" t="inlineStr"/>
      <c r="CXF78" s="278" t="inlineStr"/>
      <c r="CXG78" s="278" t="inlineStr"/>
      <c r="CXH78" s="278" t="inlineStr"/>
      <c r="CXI78" s="278" t="inlineStr"/>
      <c r="CXJ78" s="278" t="inlineStr"/>
      <c r="CXK78" s="278" t="inlineStr"/>
      <c r="CXL78" s="278" t="inlineStr"/>
      <c r="CXM78" s="278" t="inlineStr"/>
      <c r="CXN78" s="278" t="inlineStr"/>
      <c r="CXO78" s="278" t="inlineStr"/>
      <c r="CXP78" s="278" t="inlineStr"/>
      <c r="CXQ78" s="278" t="inlineStr"/>
      <c r="CXR78" s="278" t="inlineStr"/>
      <c r="CXS78" s="278" t="inlineStr"/>
      <c r="CXT78" s="278" t="inlineStr"/>
      <c r="CXU78" s="278" t="inlineStr"/>
      <c r="CXV78" s="278" t="inlineStr"/>
      <c r="CXW78" s="278" t="inlineStr"/>
      <c r="CXX78" s="278" t="inlineStr"/>
      <c r="CXY78" s="278" t="inlineStr"/>
      <c r="CXZ78" s="278" t="inlineStr"/>
      <c r="CYA78" s="278" t="inlineStr"/>
      <c r="CYB78" s="278" t="inlineStr"/>
      <c r="CYC78" s="278" t="inlineStr"/>
      <c r="CYD78" s="278" t="inlineStr"/>
      <c r="CYE78" s="278" t="inlineStr"/>
      <c r="CYF78" s="278" t="inlineStr"/>
      <c r="CYG78" s="278" t="inlineStr"/>
      <c r="CYH78" s="278" t="inlineStr"/>
      <c r="CYI78" s="278" t="inlineStr"/>
      <c r="CYJ78" s="278" t="inlineStr"/>
      <c r="CYK78" s="278" t="inlineStr"/>
      <c r="CYL78" s="278" t="inlineStr"/>
      <c r="CYM78" s="278" t="inlineStr"/>
      <c r="CYN78" s="278" t="inlineStr"/>
      <c r="CYO78" s="278" t="inlineStr"/>
      <c r="CYP78" s="278" t="inlineStr"/>
      <c r="CYQ78" s="278" t="inlineStr"/>
      <c r="CYR78" s="278" t="inlineStr"/>
      <c r="CYS78" s="278" t="inlineStr"/>
      <c r="CYT78" s="278" t="inlineStr"/>
      <c r="CYU78" s="278" t="inlineStr"/>
      <c r="CYV78" s="278" t="inlineStr"/>
      <c r="CYW78" s="278" t="inlineStr"/>
      <c r="CYX78" s="278" t="inlineStr"/>
      <c r="CYY78" s="278" t="inlineStr"/>
      <c r="CYZ78" s="278" t="inlineStr"/>
      <c r="CZA78" s="278" t="inlineStr"/>
      <c r="CZB78" s="278" t="inlineStr"/>
      <c r="CZC78" s="278" t="inlineStr"/>
      <c r="CZD78" s="278" t="inlineStr"/>
      <c r="CZE78" s="278" t="inlineStr"/>
      <c r="CZF78" s="278" t="inlineStr"/>
      <c r="CZG78" s="278" t="inlineStr"/>
      <c r="CZH78" s="278" t="inlineStr"/>
      <c r="CZI78" s="278" t="inlineStr"/>
      <c r="CZJ78" s="278" t="inlineStr"/>
      <c r="CZK78" s="278" t="inlineStr"/>
      <c r="CZL78" s="278" t="inlineStr"/>
      <c r="CZM78" s="278" t="inlineStr"/>
      <c r="CZN78" s="278" t="inlineStr"/>
      <c r="CZO78" s="278" t="inlineStr"/>
      <c r="CZP78" s="278" t="inlineStr"/>
      <c r="CZQ78" s="278" t="inlineStr"/>
      <c r="CZR78" s="278" t="inlineStr"/>
      <c r="CZS78" s="278" t="inlineStr"/>
      <c r="CZT78" s="278" t="inlineStr"/>
      <c r="CZU78" s="278" t="inlineStr"/>
      <c r="CZV78" s="278" t="inlineStr"/>
      <c r="CZW78" s="278" t="inlineStr"/>
      <c r="CZX78" s="278" t="inlineStr"/>
      <c r="CZY78" s="278" t="inlineStr"/>
      <c r="CZZ78" s="278" t="inlineStr"/>
      <c r="DAA78" s="278" t="inlineStr"/>
      <c r="DAB78" s="278" t="inlineStr"/>
      <c r="DAC78" s="278" t="inlineStr"/>
      <c r="DAD78" s="278" t="inlineStr"/>
      <c r="DAE78" s="278" t="inlineStr"/>
      <c r="DAF78" s="278" t="inlineStr"/>
      <c r="DAG78" s="278" t="inlineStr"/>
      <c r="DAH78" s="278" t="inlineStr"/>
      <c r="DAI78" s="278" t="inlineStr"/>
      <c r="DAJ78" s="278" t="inlineStr"/>
      <c r="DAK78" s="278" t="inlineStr"/>
      <c r="DAL78" s="278" t="inlineStr"/>
      <c r="DAM78" s="278" t="inlineStr"/>
      <c r="DAN78" s="278" t="inlineStr"/>
      <c r="DAO78" s="278" t="inlineStr"/>
      <c r="DAP78" s="278" t="inlineStr"/>
      <c r="DAQ78" s="278" t="inlineStr"/>
      <c r="DAR78" s="278" t="inlineStr"/>
      <c r="DAS78" s="278" t="inlineStr"/>
      <c r="DAT78" s="278" t="inlineStr"/>
      <c r="DAU78" s="278" t="inlineStr"/>
      <c r="DAV78" s="278" t="inlineStr"/>
      <c r="DAW78" s="278" t="inlineStr"/>
      <c r="DAX78" s="278" t="inlineStr"/>
      <c r="DAY78" s="278" t="inlineStr"/>
      <c r="DAZ78" s="278" t="inlineStr"/>
      <c r="DBA78" s="278" t="inlineStr"/>
      <c r="DBB78" s="278" t="inlineStr"/>
      <c r="DBC78" s="278" t="inlineStr"/>
      <c r="DBD78" s="278" t="inlineStr"/>
      <c r="DBE78" s="278" t="inlineStr"/>
      <c r="DBF78" s="278" t="inlineStr"/>
      <c r="DBG78" s="278" t="inlineStr"/>
      <c r="DBH78" s="278" t="inlineStr"/>
      <c r="DBI78" s="278" t="inlineStr"/>
      <c r="DBJ78" s="278" t="inlineStr"/>
      <c r="DBK78" s="278" t="inlineStr"/>
      <c r="DBL78" s="278" t="inlineStr"/>
      <c r="DBM78" s="278" t="inlineStr"/>
      <c r="DBN78" s="278" t="inlineStr"/>
      <c r="DBO78" s="278" t="inlineStr"/>
      <c r="DBP78" s="278" t="inlineStr"/>
      <c r="DBQ78" s="278" t="inlineStr"/>
      <c r="DBR78" s="278" t="inlineStr"/>
      <c r="DBS78" s="278" t="inlineStr"/>
      <c r="DBT78" s="278" t="inlineStr"/>
      <c r="DBU78" s="278" t="inlineStr"/>
      <c r="DBV78" s="278" t="inlineStr"/>
      <c r="DBW78" s="278" t="inlineStr"/>
      <c r="DBX78" s="278" t="inlineStr"/>
      <c r="DBY78" s="278" t="inlineStr"/>
      <c r="DBZ78" s="278" t="inlineStr"/>
      <c r="DCA78" s="278" t="inlineStr"/>
      <c r="DCB78" s="278" t="inlineStr"/>
      <c r="DCC78" s="278" t="inlineStr"/>
      <c r="DCD78" s="278" t="inlineStr"/>
      <c r="DCE78" s="278" t="inlineStr"/>
      <c r="DCF78" s="278" t="inlineStr"/>
      <c r="DCG78" s="278" t="inlineStr"/>
      <c r="DCH78" s="278" t="inlineStr"/>
      <c r="DCI78" s="278" t="inlineStr"/>
      <c r="DCJ78" s="278" t="inlineStr"/>
      <c r="DCK78" s="278" t="inlineStr"/>
      <c r="DCL78" s="278" t="inlineStr"/>
      <c r="DCM78" s="278" t="inlineStr"/>
      <c r="DCN78" s="278" t="inlineStr"/>
      <c r="DCO78" s="278" t="inlineStr"/>
      <c r="DCP78" s="278" t="inlineStr"/>
      <c r="DCQ78" s="278" t="inlineStr"/>
      <c r="DCR78" s="278" t="inlineStr"/>
      <c r="DCS78" s="278" t="inlineStr"/>
      <c r="DCT78" s="278" t="inlineStr"/>
      <c r="DCU78" s="278" t="inlineStr"/>
      <c r="DCV78" s="278" t="inlineStr"/>
      <c r="DCW78" s="278" t="inlineStr"/>
      <c r="DCX78" s="278" t="inlineStr"/>
      <c r="DCY78" s="278" t="inlineStr"/>
      <c r="DCZ78" s="278" t="inlineStr"/>
      <c r="DDA78" s="278" t="inlineStr"/>
      <c r="DDB78" s="278" t="inlineStr"/>
      <c r="DDC78" s="278" t="inlineStr"/>
      <c r="DDD78" s="278" t="inlineStr"/>
      <c r="DDE78" s="278" t="inlineStr"/>
      <c r="DDF78" s="278" t="inlineStr"/>
      <c r="DDG78" s="278" t="inlineStr"/>
      <c r="DDH78" s="278" t="inlineStr"/>
      <c r="DDI78" s="278" t="inlineStr"/>
      <c r="DDJ78" s="278" t="inlineStr"/>
      <c r="DDK78" s="278" t="inlineStr"/>
      <c r="DDL78" s="278" t="inlineStr"/>
      <c r="DDM78" s="278" t="inlineStr"/>
      <c r="DDN78" s="278" t="inlineStr"/>
      <c r="DDO78" s="278" t="inlineStr"/>
      <c r="DDP78" s="278" t="inlineStr"/>
      <c r="DDQ78" s="278" t="inlineStr"/>
      <c r="DDR78" s="278" t="inlineStr"/>
      <c r="DDS78" s="278" t="inlineStr"/>
      <c r="DDT78" s="278" t="inlineStr"/>
      <c r="DDU78" s="278" t="inlineStr"/>
      <c r="DDV78" s="278" t="inlineStr"/>
      <c r="DDW78" s="278" t="inlineStr"/>
      <c r="DDX78" s="278" t="inlineStr"/>
      <c r="DDY78" s="278" t="inlineStr"/>
      <c r="DDZ78" s="278" t="inlineStr"/>
      <c r="DEA78" s="278" t="inlineStr"/>
      <c r="DEB78" s="278" t="inlineStr"/>
      <c r="DEC78" s="278" t="inlineStr"/>
      <c r="DED78" s="278" t="inlineStr"/>
      <c r="DEE78" s="278" t="inlineStr"/>
      <c r="DEF78" s="278" t="inlineStr"/>
      <c r="DEG78" s="278" t="inlineStr"/>
      <c r="DEH78" s="278" t="inlineStr"/>
      <c r="DEI78" s="278" t="inlineStr"/>
      <c r="DEJ78" s="278" t="inlineStr"/>
      <c r="DEK78" s="278" t="inlineStr"/>
      <c r="DEL78" s="278" t="inlineStr"/>
      <c r="DEM78" s="278" t="inlineStr"/>
      <c r="DEN78" s="278" t="inlineStr"/>
      <c r="DEO78" s="278" t="inlineStr"/>
      <c r="DEP78" s="278" t="inlineStr"/>
      <c r="DEQ78" s="278" t="inlineStr"/>
      <c r="DER78" s="278" t="inlineStr"/>
      <c r="DES78" s="278" t="inlineStr"/>
      <c r="DET78" s="278" t="inlineStr"/>
      <c r="DEU78" s="278" t="inlineStr"/>
      <c r="DEV78" s="278" t="inlineStr"/>
      <c r="DEW78" s="278" t="inlineStr"/>
      <c r="DEX78" s="278" t="inlineStr"/>
      <c r="DEY78" s="278" t="inlineStr"/>
      <c r="DEZ78" s="278" t="inlineStr"/>
      <c r="DFA78" s="278" t="inlineStr"/>
      <c r="DFB78" s="278" t="inlineStr"/>
      <c r="DFC78" s="278" t="inlineStr"/>
      <c r="DFD78" s="278" t="inlineStr"/>
      <c r="DFE78" s="278" t="inlineStr"/>
      <c r="DFF78" s="278" t="inlineStr"/>
      <c r="DFG78" s="278" t="inlineStr"/>
      <c r="DFH78" s="278" t="inlineStr"/>
      <c r="DFI78" s="278" t="inlineStr"/>
      <c r="DFJ78" s="278" t="inlineStr"/>
      <c r="DFK78" s="278" t="inlineStr"/>
      <c r="DFL78" s="278" t="inlineStr"/>
      <c r="DFM78" s="278" t="inlineStr"/>
      <c r="DFN78" s="278" t="inlineStr"/>
      <c r="DFO78" s="278" t="inlineStr"/>
      <c r="DFP78" s="278" t="inlineStr"/>
      <c r="DFQ78" s="278" t="inlineStr"/>
      <c r="DFR78" s="278" t="inlineStr"/>
      <c r="DFS78" s="278" t="inlineStr"/>
      <c r="DFT78" s="278" t="inlineStr"/>
      <c r="DFU78" s="278" t="inlineStr"/>
      <c r="DFV78" s="278" t="inlineStr"/>
      <c r="DFW78" s="278" t="inlineStr"/>
      <c r="DFX78" s="278" t="inlineStr"/>
      <c r="DFY78" s="278" t="inlineStr"/>
      <c r="DFZ78" s="278" t="inlineStr"/>
      <c r="DGA78" s="278" t="inlineStr"/>
      <c r="DGB78" s="278" t="inlineStr"/>
      <c r="DGC78" s="278" t="inlineStr"/>
      <c r="DGD78" s="278" t="inlineStr"/>
      <c r="DGE78" s="278" t="inlineStr"/>
      <c r="DGF78" s="278" t="inlineStr"/>
      <c r="DGG78" s="278" t="inlineStr"/>
      <c r="DGH78" s="278" t="inlineStr"/>
      <c r="DGI78" s="278" t="inlineStr"/>
      <c r="DGJ78" s="278" t="inlineStr"/>
      <c r="DGK78" s="278" t="inlineStr"/>
      <c r="DGL78" s="278" t="inlineStr"/>
      <c r="DGM78" s="278" t="inlineStr"/>
      <c r="DGN78" s="278" t="inlineStr"/>
      <c r="DGO78" s="278" t="inlineStr"/>
      <c r="DGP78" s="278" t="inlineStr"/>
      <c r="DGQ78" s="278" t="inlineStr"/>
      <c r="DGR78" s="278" t="inlineStr"/>
      <c r="DGS78" s="278" t="inlineStr"/>
      <c r="DGT78" s="278" t="inlineStr"/>
      <c r="DGU78" s="278" t="inlineStr"/>
      <c r="DGV78" s="278" t="inlineStr"/>
      <c r="DGW78" s="278" t="inlineStr"/>
      <c r="DGX78" s="278" t="inlineStr"/>
      <c r="DGY78" s="278" t="inlineStr"/>
      <c r="DGZ78" s="278" t="inlineStr"/>
      <c r="DHA78" s="278" t="inlineStr"/>
      <c r="DHB78" s="278" t="inlineStr"/>
      <c r="DHC78" s="278" t="inlineStr"/>
      <c r="DHD78" s="278" t="inlineStr"/>
      <c r="DHE78" s="278" t="inlineStr"/>
      <c r="DHF78" s="278" t="inlineStr"/>
      <c r="DHG78" s="278" t="inlineStr"/>
      <c r="DHH78" s="278" t="inlineStr"/>
      <c r="DHI78" s="278" t="inlineStr"/>
      <c r="DHJ78" s="278" t="inlineStr"/>
      <c r="DHK78" s="278" t="inlineStr"/>
      <c r="DHL78" s="278" t="inlineStr"/>
      <c r="DHM78" s="278" t="inlineStr"/>
      <c r="DHN78" s="278" t="inlineStr"/>
      <c r="DHO78" s="278" t="inlineStr"/>
      <c r="DHP78" s="278" t="inlineStr"/>
      <c r="DHQ78" s="278" t="inlineStr"/>
      <c r="DHR78" s="278" t="inlineStr"/>
      <c r="DHS78" s="278" t="inlineStr"/>
      <c r="DHT78" s="278" t="inlineStr"/>
      <c r="DHU78" s="278" t="inlineStr"/>
      <c r="DHV78" s="278" t="inlineStr"/>
      <c r="DHW78" s="278" t="inlineStr"/>
      <c r="DHX78" s="278" t="inlineStr"/>
      <c r="DHY78" s="278" t="inlineStr"/>
      <c r="DHZ78" s="278" t="inlineStr"/>
      <c r="DIA78" s="278" t="inlineStr"/>
      <c r="DIB78" s="278" t="inlineStr"/>
      <c r="DIC78" s="278" t="inlineStr"/>
      <c r="DID78" s="278" t="inlineStr"/>
      <c r="DIE78" s="278" t="inlineStr"/>
      <c r="DIF78" s="278" t="inlineStr"/>
      <c r="DIG78" s="278" t="inlineStr"/>
      <c r="DIH78" s="278" t="inlineStr"/>
      <c r="DII78" s="278" t="inlineStr"/>
      <c r="DIJ78" s="278" t="inlineStr"/>
      <c r="DIK78" s="278" t="inlineStr"/>
      <c r="DIL78" s="278" t="inlineStr"/>
      <c r="DIM78" s="278" t="inlineStr"/>
      <c r="DIN78" s="278" t="inlineStr"/>
      <c r="DIO78" s="278" t="inlineStr"/>
      <c r="DIP78" s="278" t="inlineStr"/>
      <c r="DIQ78" s="278" t="inlineStr"/>
      <c r="DIR78" s="278" t="inlineStr"/>
      <c r="DIS78" s="278" t="inlineStr"/>
      <c r="DIT78" s="278" t="inlineStr"/>
      <c r="DIU78" s="278" t="inlineStr"/>
      <c r="DIV78" s="278" t="inlineStr"/>
      <c r="DIW78" s="278" t="inlineStr"/>
      <c r="DIX78" s="278" t="inlineStr"/>
      <c r="DIY78" s="278" t="inlineStr"/>
      <c r="DIZ78" s="278" t="inlineStr"/>
      <c r="DJA78" s="278" t="inlineStr"/>
      <c r="DJB78" s="278" t="inlineStr"/>
      <c r="DJC78" s="278" t="inlineStr"/>
      <c r="DJD78" s="278" t="inlineStr"/>
      <c r="DJE78" s="278" t="inlineStr"/>
      <c r="DJF78" s="278" t="inlineStr"/>
      <c r="DJG78" s="278" t="inlineStr"/>
      <c r="DJH78" s="278" t="inlineStr"/>
      <c r="DJI78" s="278" t="inlineStr"/>
      <c r="DJJ78" s="278" t="inlineStr"/>
      <c r="DJK78" s="278" t="inlineStr"/>
      <c r="DJL78" s="278" t="inlineStr"/>
      <c r="DJM78" s="278" t="inlineStr"/>
      <c r="DJN78" s="278" t="inlineStr"/>
      <c r="DJO78" s="278" t="inlineStr"/>
      <c r="DJP78" s="278" t="inlineStr"/>
      <c r="DJQ78" s="278" t="inlineStr"/>
      <c r="DJR78" s="278" t="inlineStr"/>
      <c r="DJS78" s="278" t="inlineStr"/>
      <c r="DJT78" s="278" t="inlineStr"/>
      <c r="DJU78" s="278" t="inlineStr"/>
      <c r="DJV78" s="278" t="inlineStr"/>
      <c r="DJW78" s="278" t="inlineStr"/>
      <c r="DJX78" s="278" t="inlineStr"/>
      <c r="DJY78" s="278" t="inlineStr"/>
      <c r="DJZ78" s="278" t="inlineStr"/>
      <c r="DKA78" s="278" t="inlineStr"/>
      <c r="DKB78" s="278" t="inlineStr"/>
      <c r="DKC78" s="278" t="inlineStr"/>
      <c r="DKD78" s="278" t="inlineStr"/>
      <c r="DKE78" s="278" t="inlineStr"/>
      <c r="DKF78" s="278" t="inlineStr"/>
      <c r="DKG78" s="278" t="inlineStr"/>
      <c r="DKH78" s="278" t="inlineStr"/>
      <c r="DKI78" s="278" t="inlineStr"/>
      <c r="DKJ78" s="278" t="inlineStr"/>
      <c r="DKK78" s="278" t="inlineStr"/>
      <c r="DKL78" s="278" t="inlineStr"/>
      <c r="DKM78" s="278" t="inlineStr"/>
      <c r="DKN78" s="278" t="inlineStr"/>
      <c r="DKO78" s="278" t="inlineStr"/>
      <c r="DKP78" s="278" t="inlineStr"/>
      <c r="DKQ78" s="278" t="inlineStr"/>
      <c r="DKR78" s="278" t="inlineStr"/>
      <c r="DKS78" s="278" t="inlineStr"/>
      <c r="DKT78" s="278" t="inlineStr"/>
      <c r="DKU78" s="278" t="inlineStr"/>
      <c r="DKV78" s="278" t="inlineStr"/>
      <c r="DKW78" s="278" t="inlineStr"/>
      <c r="DKX78" s="278" t="inlineStr"/>
      <c r="DKY78" s="278" t="inlineStr"/>
      <c r="DKZ78" s="278" t="inlineStr"/>
      <c r="DLA78" s="278" t="inlineStr"/>
      <c r="DLB78" s="278" t="inlineStr"/>
      <c r="DLC78" s="278" t="inlineStr"/>
      <c r="DLD78" s="278" t="inlineStr"/>
      <c r="DLE78" s="278" t="inlineStr"/>
      <c r="DLF78" s="278" t="inlineStr"/>
      <c r="DLG78" s="278" t="inlineStr"/>
      <c r="DLH78" s="278" t="inlineStr"/>
      <c r="DLI78" s="278" t="inlineStr"/>
      <c r="DLJ78" s="278" t="inlineStr"/>
      <c r="DLK78" s="278" t="inlineStr"/>
      <c r="DLL78" s="278" t="inlineStr"/>
      <c r="DLM78" s="278" t="inlineStr"/>
      <c r="DLN78" s="278" t="inlineStr"/>
      <c r="DLO78" s="278" t="inlineStr"/>
      <c r="DLP78" s="278" t="inlineStr"/>
      <c r="DLQ78" s="278" t="inlineStr"/>
      <c r="DLR78" s="278" t="inlineStr"/>
      <c r="DLS78" s="278" t="inlineStr"/>
      <c r="DLT78" s="278" t="inlineStr"/>
      <c r="DLU78" s="278" t="inlineStr"/>
      <c r="DLV78" s="278" t="inlineStr"/>
      <c r="DLW78" s="278" t="inlineStr"/>
      <c r="DLX78" s="278" t="inlineStr"/>
      <c r="DLY78" s="278" t="inlineStr"/>
      <c r="DLZ78" s="278" t="inlineStr"/>
      <c r="DMA78" s="278" t="inlineStr"/>
      <c r="DMB78" s="278" t="inlineStr"/>
      <c r="DMC78" s="278" t="inlineStr"/>
      <c r="DMD78" s="278" t="inlineStr"/>
      <c r="DME78" s="278" t="inlineStr"/>
      <c r="DMF78" s="278" t="inlineStr"/>
      <c r="DMG78" s="278" t="inlineStr"/>
      <c r="DMH78" s="278" t="inlineStr"/>
      <c r="DMI78" s="278" t="inlineStr"/>
      <c r="DMJ78" s="278" t="inlineStr"/>
      <c r="DMK78" s="278" t="inlineStr"/>
      <c r="DML78" s="278" t="inlineStr"/>
      <c r="DMM78" s="278" t="inlineStr"/>
      <c r="DMN78" s="278" t="inlineStr"/>
      <c r="DMO78" s="278" t="inlineStr"/>
      <c r="DMP78" s="278" t="inlineStr"/>
      <c r="DMQ78" s="278" t="inlineStr"/>
      <c r="DMR78" s="278" t="inlineStr"/>
      <c r="DMS78" s="278" t="inlineStr"/>
      <c r="DMT78" s="278" t="inlineStr"/>
      <c r="DMU78" s="278" t="inlineStr"/>
      <c r="DMV78" s="278" t="inlineStr"/>
      <c r="DMW78" s="278" t="inlineStr"/>
      <c r="DMX78" s="278" t="inlineStr"/>
      <c r="DMY78" s="278" t="inlineStr"/>
      <c r="DMZ78" s="278" t="inlineStr"/>
      <c r="DNA78" s="278" t="inlineStr"/>
      <c r="DNB78" s="278" t="inlineStr"/>
      <c r="DNC78" s="278" t="inlineStr"/>
      <c r="DND78" s="278" t="inlineStr"/>
      <c r="DNE78" s="278" t="inlineStr"/>
      <c r="DNF78" s="278" t="inlineStr"/>
      <c r="DNG78" s="278" t="inlineStr"/>
      <c r="DNH78" s="278" t="inlineStr"/>
      <c r="DNI78" s="278" t="inlineStr"/>
      <c r="DNJ78" s="278" t="inlineStr"/>
      <c r="DNK78" s="278" t="inlineStr"/>
      <c r="DNL78" s="278" t="inlineStr"/>
      <c r="DNM78" s="278" t="inlineStr"/>
      <c r="DNN78" s="278" t="inlineStr"/>
      <c r="DNO78" s="278" t="inlineStr"/>
      <c r="DNP78" s="278" t="inlineStr"/>
      <c r="DNQ78" s="278" t="inlineStr"/>
      <c r="DNR78" s="278" t="inlineStr"/>
      <c r="DNS78" s="278" t="inlineStr"/>
      <c r="DNT78" s="278" t="inlineStr"/>
      <c r="DNU78" s="278" t="inlineStr"/>
      <c r="DNV78" s="278" t="inlineStr"/>
      <c r="DNW78" s="278" t="inlineStr"/>
      <c r="DNX78" s="278" t="inlineStr"/>
      <c r="DNY78" s="278" t="inlineStr"/>
      <c r="DNZ78" s="278" t="inlineStr"/>
      <c r="DOA78" s="278" t="inlineStr"/>
      <c r="DOB78" s="278" t="inlineStr"/>
      <c r="DOC78" s="278" t="inlineStr"/>
      <c r="DOD78" s="278" t="inlineStr"/>
      <c r="DOE78" s="278" t="inlineStr"/>
      <c r="DOF78" s="278" t="inlineStr"/>
      <c r="DOG78" s="278" t="inlineStr"/>
      <c r="DOH78" s="278" t="inlineStr"/>
      <c r="DOI78" s="278" t="inlineStr"/>
      <c r="DOJ78" s="278" t="inlineStr"/>
      <c r="DOK78" s="278" t="inlineStr"/>
      <c r="DOL78" s="278" t="inlineStr"/>
      <c r="DOM78" s="278" t="inlineStr"/>
      <c r="DON78" s="278" t="inlineStr"/>
      <c r="DOO78" s="278" t="inlineStr"/>
      <c r="DOP78" s="278" t="inlineStr"/>
      <c r="DOQ78" s="278" t="inlineStr"/>
      <c r="DOR78" s="278" t="inlineStr"/>
      <c r="DOS78" s="278" t="inlineStr"/>
      <c r="DOT78" s="278" t="inlineStr"/>
      <c r="DOU78" s="278" t="inlineStr"/>
      <c r="DOV78" s="278" t="inlineStr"/>
      <c r="DOW78" s="278" t="inlineStr"/>
      <c r="DOX78" s="278" t="inlineStr"/>
      <c r="DOY78" s="278" t="inlineStr"/>
      <c r="DOZ78" s="278" t="inlineStr"/>
      <c r="DPA78" s="278" t="inlineStr"/>
      <c r="DPB78" s="278" t="inlineStr"/>
      <c r="DPC78" s="278" t="inlineStr"/>
      <c r="DPD78" s="278" t="inlineStr"/>
      <c r="DPE78" s="278" t="inlineStr"/>
      <c r="DPF78" s="278" t="inlineStr"/>
      <c r="DPG78" s="278" t="inlineStr"/>
      <c r="DPH78" s="278" t="inlineStr"/>
      <c r="DPI78" s="278" t="inlineStr"/>
      <c r="DPJ78" s="278" t="inlineStr"/>
      <c r="DPK78" s="278" t="inlineStr"/>
      <c r="DPL78" s="278" t="inlineStr"/>
      <c r="DPM78" s="278" t="inlineStr"/>
      <c r="DPN78" s="278" t="inlineStr"/>
      <c r="DPO78" s="278" t="inlineStr"/>
      <c r="DPP78" s="278" t="inlineStr"/>
      <c r="DPQ78" s="278" t="inlineStr"/>
      <c r="DPR78" s="278" t="inlineStr"/>
      <c r="DPS78" s="278" t="inlineStr"/>
      <c r="DPT78" s="278" t="inlineStr"/>
      <c r="DPU78" s="278" t="inlineStr"/>
      <c r="DPV78" s="278" t="inlineStr"/>
      <c r="DPW78" s="278" t="inlineStr"/>
      <c r="DPX78" s="278" t="inlineStr"/>
      <c r="DPY78" s="278" t="inlineStr"/>
      <c r="DPZ78" s="278" t="inlineStr"/>
      <c r="DQA78" s="278" t="inlineStr"/>
      <c r="DQB78" s="278" t="inlineStr"/>
      <c r="DQC78" s="278" t="inlineStr"/>
      <c r="DQD78" s="278" t="inlineStr"/>
      <c r="DQE78" s="278" t="inlineStr"/>
      <c r="DQF78" s="278" t="inlineStr"/>
      <c r="DQG78" s="278" t="inlineStr"/>
      <c r="DQH78" s="278" t="inlineStr"/>
      <c r="DQI78" s="278" t="inlineStr"/>
      <c r="DQJ78" s="278" t="inlineStr"/>
      <c r="DQK78" s="278" t="inlineStr"/>
      <c r="DQL78" s="278" t="inlineStr"/>
      <c r="DQM78" s="278" t="inlineStr"/>
      <c r="DQN78" s="278" t="inlineStr"/>
      <c r="DQO78" s="278" t="inlineStr"/>
      <c r="DQP78" s="278" t="inlineStr"/>
      <c r="DQQ78" s="278" t="inlineStr"/>
      <c r="DQR78" s="278" t="inlineStr"/>
      <c r="DQS78" s="278" t="inlineStr"/>
      <c r="DQT78" s="278" t="inlineStr"/>
      <c r="DQU78" s="278" t="inlineStr"/>
      <c r="DQV78" s="278" t="inlineStr"/>
      <c r="DQW78" s="278" t="inlineStr"/>
      <c r="DQX78" s="278" t="inlineStr"/>
      <c r="DQY78" s="278" t="inlineStr"/>
      <c r="DQZ78" s="278" t="inlineStr"/>
      <c r="DRA78" s="278" t="inlineStr"/>
      <c r="DRB78" s="278" t="inlineStr"/>
      <c r="DRC78" s="278" t="inlineStr"/>
      <c r="DRD78" s="278" t="inlineStr"/>
      <c r="DRE78" s="278" t="inlineStr"/>
      <c r="DRF78" s="278" t="inlineStr"/>
      <c r="DRG78" s="278" t="inlineStr"/>
      <c r="DRH78" s="278" t="inlineStr"/>
      <c r="DRI78" s="278" t="inlineStr"/>
      <c r="DRJ78" s="278" t="inlineStr"/>
      <c r="DRK78" s="278" t="inlineStr"/>
      <c r="DRL78" s="278" t="inlineStr"/>
      <c r="DRM78" s="278" t="inlineStr"/>
      <c r="DRN78" s="278" t="inlineStr"/>
      <c r="DRO78" s="278" t="inlineStr"/>
      <c r="DRP78" s="278" t="inlineStr"/>
      <c r="DRQ78" s="278" t="inlineStr"/>
      <c r="DRR78" s="278" t="inlineStr"/>
      <c r="DRS78" s="278" t="inlineStr"/>
      <c r="DRT78" s="278" t="inlineStr"/>
      <c r="DRU78" s="278" t="inlineStr"/>
      <c r="DRV78" s="278" t="inlineStr"/>
      <c r="DRW78" s="278" t="inlineStr"/>
      <c r="DRX78" s="278" t="inlineStr"/>
      <c r="DRY78" s="278" t="inlineStr"/>
      <c r="DRZ78" s="278" t="inlineStr"/>
      <c r="DSA78" s="278" t="inlineStr"/>
      <c r="DSB78" s="278" t="inlineStr"/>
      <c r="DSC78" s="278" t="inlineStr"/>
      <c r="DSD78" s="278" t="inlineStr"/>
      <c r="DSE78" s="278" t="inlineStr"/>
      <c r="DSF78" s="278" t="inlineStr"/>
      <c r="DSG78" s="278" t="inlineStr"/>
      <c r="DSH78" s="278" t="inlineStr"/>
      <c r="DSI78" s="278" t="inlineStr"/>
      <c r="DSJ78" s="278" t="inlineStr"/>
      <c r="DSK78" s="278" t="inlineStr"/>
      <c r="DSL78" s="278" t="inlineStr"/>
      <c r="DSM78" s="278" t="inlineStr"/>
      <c r="DSN78" s="278" t="inlineStr"/>
      <c r="DSO78" s="278" t="inlineStr"/>
      <c r="DSP78" s="278" t="inlineStr"/>
      <c r="DSQ78" s="278" t="inlineStr"/>
      <c r="DSR78" s="278" t="inlineStr"/>
      <c r="DSS78" s="278" t="inlineStr"/>
      <c r="DST78" s="278" t="inlineStr"/>
      <c r="DSU78" s="278" t="inlineStr"/>
      <c r="DSV78" s="278" t="inlineStr"/>
      <c r="DSW78" s="278" t="inlineStr"/>
      <c r="DSX78" s="278" t="inlineStr"/>
      <c r="DSY78" s="278" t="inlineStr"/>
      <c r="DSZ78" s="278" t="inlineStr"/>
      <c r="DTA78" s="278" t="inlineStr"/>
      <c r="DTB78" s="278" t="inlineStr"/>
      <c r="DTC78" s="278" t="inlineStr"/>
      <c r="DTD78" s="278" t="inlineStr"/>
      <c r="DTE78" s="278" t="inlineStr"/>
      <c r="DTF78" s="278" t="inlineStr"/>
      <c r="DTG78" s="278" t="inlineStr"/>
      <c r="DTH78" s="278" t="inlineStr"/>
      <c r="DTI78" s="278" t="inlineStr"/>
      <c r="DTJ78" s="278" t="inlineStr"/>
      <c r="DTK78" s="278" t="inlineStr"/>
      <c r="DTL78" s="278" t="inlineStr"/>
      <c r="DTM78" s="278" t="inlineStr"/>
      <c r="DTN78" s="278" t="inlineStr"/>
      <c r="DTO78" s="278" t="inlineStr"/>
      <c r="DTP78" s="278" t="inlineStr"/>
      <c r="DTQ78" s="278" t="inlineStr"/>
      <c r="DTR78" s="278" t="inlineStr"/>
      <c r="DTS78" s="278" t="inlineStr"/>
      <c r="DTT78" s="278" t="inlineStr"/>
      <c r="DTU78" s="278" t="inlineStr"/>
      <c r="DTV78" s="278" t="inlineStr"/>
      <c r="DTW78" s="278" t="inlineStr"/>
      <c r="DTX78" s="278" t="inlineStr"/>
      <c r="DTY78" s="278" t="inlineStr"/>
      <c r="DTZ78" s="278" t="inlineStr"/>
      <c r="DUA78" s="278" t="inlineStr"/>
      <c r="DUB78" s="278" t="inlineStr"/>
      <c r="DUC78" s="278" t="inlineStr"/>
      <c r="DUD78" s="278" t="inlineStr"/>
      <c r="DUE78" s="278" t="inlineStr"/>
      <c r="DUF78" s="278" t="inlineStr"/>
      <c r="DUG78" s="278" t="inlineStr"/>
      <c r="DUH78" s="278" t="inlineStr"/>
      <c r="DUI78" s="278" t="inlineStr"/>
      <c r="DUJ78" s="278" t="inlineStr"/>
      <c r="DUK78" s="278" t="inlineStr"/>
      <c r="DUL78" s="278" t="inlineStr"/>
      <c r="DUM78" s="278" t="inlineStr"/>
      <c r="DUN78" s="278" t="inlineStr"/>
      <c r="DUO78" s="278" t="inlineStr"/>
      <c r="DUP78" s="278" t="inlineStr"/>
      <c r="DUQ78" s="278" t="inlineStr"/>
      <c r="DUR78" s="278" t="inlineStr"/>
      <c r="DUS78" s="278" t="inlineStr"/>
      <c r="DUT78" s="278" t="inlineStr"/>
      <c r="DUU78" s="278" t="inlineStr"/>
      <c r="DUV78" s="278" t="inlineStr"/>
      <c r="DUW78" s="278" t="inlineStr"/>
      <c r="DUX78" s="278" t="inlineStr"/>
      <c r="DUY78" s="278" t="inlineStr"/>
      <c r="DUZ78" s="278" t="inlineStr"/>
      <c r="DVA78" s="278" t="inlineStr"/>
      <c r="DVB78" s="278" t="inlineStr"/>
      <c r="DVC78" s="278" t="inlineStr"/>
      <c r="DVD78" s="278" t="inlineStr"/>
      <c r="DVE78" s="278" t="inlineStr"/>
      <c r="DVF78" s="278" t="inlineStr"/>
      <c r="DVG78" s="278" t="inlineStr"/>
      <c r="DVH78" s="278" t="inlineStr"/>
      <c r="DVI78" s="278" t="inlineStr"/>
      <c r="DVJ78" s="278" t="inlineStr"/>
      <c r="DVK78" s="278" t="inlineStr"/>
      <c r="DVL78" s="278" t="inlineStr"/>
      <c r="DVM78" s="278" t="inlineStr"/>
      <c r="DVN78" s="278" t="inlineStr"/>
      <c r="DVO78" s="278" t="inlineStr"/>
      <c r="DVP78" s="278" t="inlineStr"/>
      <c r="DVQ78" s="278" t="inlineStr"/>
      <c r="DVR78" s="278" t="inlineStr"/>
      <c r="DVS78" s="278" t="inlineStr"/>
      <c r="DVT78" s="278" t="inlineStr"/>
      <c r="DVU78" s="278" t="inlineStr"/>
      <c r="DVV78" s="278" t="inlineStr"/>
      <c r="DVW78" s="278" t="inlineStr"/>
      <c r="DVX78" s="278" t="inlineStr"/>
      <c r="DVY78" s="278" t="inlineStr"/>
      <c r="DVZ78" s="278" t="inlineStr"/>
      <c r="DWA78" s="278" t="inlineStr"/>
      <c r="DWB78" s="278" t="inlineStr"/>
      <c r="DWC78" s="278" t="inlineStr"/>
      <c r="DWD78" s="278" t="inlineStr"/>
      <c r="DWE78" s="278" t="inlineStr"/>
      <c r="DWF78" s="278" t="inlineStr"/>
      <c r="DWG78" s="278" t="inlineStr"/>
      <c r="DWH78" s="278" t="inlineStr"/>
      <c r="DWI78" s="278" t="inlineStr"/>
      <c r="DWJ78" s="278" t="inlineStr"/>
      <c r="DWK78" s="278" t="inlineStr"/>
      <c r="DWL78" s="278" t="inlineStr"/>
      <c r="DWM78" s="278" t="inlineStr"/>
      <c r="DWN78" s="278" t="inlineStr"/>
      <c r="DWO78" s="278" t="inlineStr"/>
      <c r="DWP78" s="278" t="inlineStr"/>
      <c r="DWQ78" s="278" t="inlineStr"/>
      <c r="DWR78" s="278" t="inlineStr"/>
      <c r="DWS78" s="278" t="inlineStr"/>
      <c r="DWT78" s="278" t="inlineStr"/>
      <c r="DWU78" s="278" t="inlineStr"/>
      <c r="DWV78" s="278" t="inlineStr"/>
      <c r="DWW78" s="278" t="inlineStr"/>
      <c r="DWX78" s="278" t="inlineStr"/>
      <c r="DWY78" s="278" t="inlineStr"/>
      <c r="DWZ78" s="278" t="inlineStr"/>
      <c r="DXA78" s="278" t="inlineStr"/>
      <c r="DXB78" s="278" t="inlineStr"/>
      <c r="DXC78" s="278" t="inlineStr"/>
      <c r="DXD78" s="278" t="inlineStr"/>
      <c r="DXE78" s="278" t="inlineStr"/>
      <c r="DXF78" s="278" t="inlineStr"/>
      <c r="DXG78" s="278" t="inlineStr"/>
      <c r="DXH78" s="278" t="inlineStr"/>
      <c r="DXI78" s="278" t="inlineStr"/>
      <c r="DXJ78" s="278" t="inlineStr"/>
      <c r="DXK78" s="278" t="inlineStr"/>
      <c r="DXL78" s="278" t="inlineStr"/>
      <c r="DXM78" s="278" t="inlineStr"/>
      <c r="DXN78" s="278" t="inlineStr"/>
      <c r="DXO78" s="278" t="inlineStr"/>
      <c r="DXP78" s="278" t="inlineStr"/>
      <c r="DXQ78" s="278" t="inlineStr"/>
      <c r="DXR78" s="278" t="inlineStr"/>
      <c r="DXS78" s="278" t="inlineStr"/>
      <c r="DXT78" s="278" t="inlineStr"/>
      <c r="DXU78" s="278" t="inlineStr"/>
      <c r="DXV78" s="278" t="inlineStr"/>
      <c r="DXW78" s="278" t="inlineStr"/>
      <c r="DXX78" s="278" t="inlineStr"/>
      <c r="DXY78" s="278" t="inlineStr"/>
      <c r="DXZ78" s="278" t="inlineStr"/>
      <c r="DYA78" s="278" t="inlineStr"/>
      <c r="DYB78" s="278" t="inlineStr"/>
      <c r="DYC78" s="278" t="inlineStr"/>
      <c r="DYD78" s="278" t="inlineStr"/>
      <c r="DYE78" s="278" t="inlineStr"/>
      <c r="DYF78" s="278" t="inlineStr"/>
      <c r="DYG78" s="278" t="inlineStr"/>
      <c r="DYH78" s="278" t="inlineStr"/>
      <c r="DYI78" s="278" t="inlineStr"/>
      <c r="DYJ78" s="278" t="inlineStr"/>
      <c r="DYK78" s="278" t="inlineStr"/>
      <c r="DYL78" s="278" t="inlineStr"/>
      <c r="DYM78" s="278" t="inlineStr"/>
      <c r="DYN78" s="278" t="inlineStr"/>
      <c r="DYO78" s="278" t="inlineStr"/>
      <c r="DYP78" s="278" t="inlineStr"/>
      <c r="DYQ78" s="278" t="inlineStr"/>
      <c r="DYR78" s="278" t="inlineStr"/>
      <c r="DYS78" s="278" t="inlineStr"/>
      <c r="DYT78" s="278" t="inlineStr"/>
      <c r="DYU78" s="278" t="inlineStr"/>
      <c r="DYV78" s="278" t="inlineStr"/>
      <c r="DYW78" s="278" t="inlineStr"/>
      <c r="DYX78" s="278" t="inlineStr"/>
      <c r="DYY78" s="278" t="inlineStr"/>
      <c r="DYZ78" s="278" t="inlineStr"/>
      <c r="DZA78" s="278" t="inlineStr"/>
      <c r="DZB78" s="278" t="inlineStr"/>
      <c r="DZC78" s="278" t="inlineStr"/>
      <c r="DZD78" s="278" t="inlineStr"/>
      <c r="DZE78" s="278" t="inlineStr"/>
      <c r="DZF78" s="278" t="inlineStr"/>
      <c r="DZG78" s="278" t="inlineStr"/>
      <c r="DZH78" s="278" t="inlineStr"/>
      <c r="DZI78" s="278" t="inlineStr"/>
      <c r="DZJ78" s="278" t="inlineStr"/>
      <c r="DZK78" s="278" t="inlineStr"/>
      <c r="DZL78" s="278" t="inlineStr"/>
      <c r="DZM78" s="278" t="inlineStr"/>
      <c r="DZN78" s="278" t="inlineStr"/>
      <c r="DZO78" s="278" t="inlineStr"/>
      <c r="DZP78" s="278" t="inlineStr"/>
      <c r="DZQ78" s="278" t="inlineStr"/>
      <c r="DZR78" s="278" t="inlineStr"/>
      <c r="DZS78" s="278" t="inlineStr"/>
      <c r="DZT78" s="278" t="inlineStr"/>
      <c r="DZU78" s="278" t="inlineStr"/>
      <c r="DZV78" s="278" t="inlineStr"/>
      <c r="DZW78" s="278" t="inlineStr"/>
      <c r="DZX78" s="278" t="inlineStr"/>
      <c r="DZY78" s="278" t="inlineStr"/>
      <c r="DZZ78" s="278" t="inlineStr"/>
      <c r="EAA78" s="278" t="inlineStr"/>
      <c r="EAB78" s="278" t="inlineStr"/>
      <c r="EAC78" s="278" t="inlineStr"/>
      <c r="EAD78" s="278" t="inlineStr"/>
      <c r="EAE78" s="278" t="inlineStr"/>
      <c r="EAF78" s="278" t="inlineStr"/>
      <c r="EAG78" s="278" t="inlineStr"/>
      <c r="EAH78" s="278" t="inlineStr"/>
      <c r="EAI78" s="278" t="inlineStr"/>
      <c r="EAJ78" s="278" t="inlineStr"/>
      <c r="EAK78" s="278" t="inlineStr"/>
      <c r="EAL78" s="278" t="inlineStr"/>
      <c r="EAM78" s="278" t="inlineStr"/>
      <c r="EAN78" s="278" t="inlineStr"/>
      <c r="EAO78" s="278" t="inlineStr"/>
      <c r="EAP78" s="278" t="inlineStr"/>
      <c r="EAQ78" s="278" t="inlineStr"/>
      <c r="EAR78" s="278" t="inlineStr"/>
      <c r="EAS78" s="278" t="inlineStr"/>
      <c r="EAT78" s="278" t="inlineStr"/>
      <c r="EAU78" s="278" t="inlineStr"/>
      <c r="EAV78" s="278" t="inlineStr"/>
      <c r="EAW78" s="278" t="inlineStr"/>
      <c r="EAX78" s="278" t="inlineStr"/>
      <c r="EAY78" s="278" t="inlineStr"/>
      <c r="EAZ78" s="278" t="inlineStr"/>
      <c r="EBA78" s="278" t="inlineStr"/>
      <c r="EBB78" s="278" t="inlineStr"/>
      <c r="EBC78" s="278" t="inlineStr"/>
      <c r="EBD78" s="278" t="inlineStr"/>
      <c r="EBE78" s="278" t="inlineStr"/>
      <c r="EBF78" s="278" t="inlineStr"/>
      <c r="EBG78" s="278" t="inlineStr"/>
      <c r="EBH78" s="278" t="inlineStr"/>
      <c r="EBI78" s="278" t="inlineStr"/>
      <c r="EBJ78" s="278" t="inlineStr"/>
      <c r="EBK78" s="278" t="inlineStr"/>
      <c r="EBL78" s="278" t="inlineStr"/>
      <c r="EBM78" s="278" t="inlineStr"/>
      <c r="EBN78" s="278" t="inlineStr"/>
      <c r="EBO78" s="278" t="inlineStr"/>
      <c r="EBP78" s="278" t="inlineStr"/>
      <c r="EBQ78" s="278" t="inlineStr"/>
      <c r="EBR78" s="278" t="inlineStr"/>
      <c r="EBS78" s="278" t="inlineStr"/>
      <c r="EBT78" s="278" t="inlineStr"/>
      <c r="EBU78" s="278" t="inlineStr"/>
      <c r="EBV78" s="278" t="inlineStr"/>
      <c r="EBW78" s="278" t="inlineStr"/>
      <c r="EBX78" s="278" t="inlineStr"/>
      <c r="EBY78" s="278" t="inlineStr"/>
      <c r="EBZ78" s="278" t="inlineStr"/>
      <c r="ECA78" s="278" t="inlineStr"/>
      <c r="ECB78" s="278" t="inlineStr"/>
      <c r="ECC78" s="278" t="inlineStr"/>
      <c r="ECD78" s="278" t="inlineStr"/>
      <c r="ECE78" s="278" t="inlineStr"/>
      <c r="ECF78" s="278" t="inlineStr"/>
      <c r="ECG78" s="278" t="inlineStr"/>
      <c r="ECH78" s="278" t="inlineStr"/>
      <c r="ECI78" s="278" t="inlineStr"/>
      <c r="ECJ78" s="278" t="inlineStr"/>
      <c r="ECK78" s="278" t="inlineStr"/>
      <c r="ECL78" s="278" t="inlineStr"/>
      <c r="ECM78" s="278" t="inlineStr"/>
      <c r="ECN78" s="278" t="inlineStr"/>
      <c r="ECO78" s="278" t="inlineStr"/>
      <c r="ECP78" s="278" t="inlineStr"/>
      <c r="ECQ78" s="278" t="inlineStr"/>
      <c r="ECR78" s="278" t="inlineStr"/>
      <c r="ECS78" s="278" t="inlineStr"/>
      <c r="ECT78" s="278" t="inlineStr"/>
      <c r="ECU78" s="278" t="inlineStr"/>
      <c r="ECV78" s="278" t="inlineStr"/>
      <c r="ECW78" s="278" t="inlineStr"/>
      <c r="ECX78" s="278" t="inlineStr"/>
      <c r="ECY78" s="278" t="inlineStr"/>
      <c r="ECZ78" s="278" t="inlineStr"/>
      <c r="EDA78" s="278" t="inlineStr"/>
      <c r="EDB78" s="278" t="inlineStr"/>
      <c r="EDC78" s="278" t="inlineStr"/>
      <c r="EDD78" s="278" t="inlineStr"/>
      <c r="EDE78" s="278" t="inlineStr"/>
      <c r="EDF78" s="278" t="inlineStr"/>
      <c r="EDG78" s="278" t="inlineStr"/>
      <c r="EDH78" s="278" t="inlineStr"/>
      <c r="EDI78" s="278" t="inlineStr"/>
      <c r="EDJ78" s="278" t="inlineStr"/>
      <c r="EDK78" s="278" t="inlineStr"/>
      <c r="EDL78" s="278" t="inlineStr"/>
      <c r="EDM78" s="278" t="inlineStr"/>
      <c r="EDN78" s="278" t="inlineStr"/>
      <c r="EDO78" s="278" t="inlineStr"/>
      <c r="EDP78" s="278" t="inlineStr"/>
      <c r="EDQ78" s="278" t="inlineStr"/>
      <c r="EDR78" s="278" t="inlineStr"/>
      <c r="EDS78" s="278" t="inlineStr"/>
      <c r="EDT78" s="278" t="inlineStr"/>
      <c r="EDU78" s="278" t="inlineStr"/>
      <c r="EDV78" s="278" t="inlineStr"/>
      <c r="EDW78" s="278" t="inlineStr"/>
      <c r="EDX78" s="278" t="inlineStr"/>
      <c r="EDY78" s="278" t="inlineStr"/>
      <c r="EDZ78" s="278" t="inlineStr"/>
      <c r="EEA78" s="278" t="inlineStr"/>
      <c r="EEB78" s="278" t="inlineStr"/>
      <c r="EEC78" s="278" t="inlineStr"/>
      <c r="EED78" s="278" t="inlineStr"/>
      <c r="EEE78" s="278" t="inlineStr"/>
      <c r="EEF78" s="278" t="inlineStr"/>
      <c r="EEG78" s="278" t="inlineStr"/>
      <c r="EEH78" s="278" t="inlineStr"/>
      <c r="EEI78" s="278" t="inlineStr"/>
      <c r="EEJ78" s="278" t="inlineStr"/>
      <c r="EEK78" s="278" t="inlineStr"/>
      <c r="EEL78" s="278" t="inlineStr"/>
      <c r="EEM78" s="278" t="inlineStr"/>
      <c r="EEN78" s="278" t="inlineStr"/>
      <c r="EEO78" s="278" t="inlineStr"/>
      <c r="EEP78" s="278" t="inlineStr"/>
      <c r="EEQ78" s="278" t="inlineStr"/>
      <c r="EER78" s="278" t="inlineStr"/>
      <c r="EES78" s="278" t="inlineStr"/>
      <c r="EET78" s="278" t="inlineStr"/>
      <c r="EEU78" s="278" t="inlineStr"/>
      <c r="EEV78" s="278" t="inlineStr"/>
      <c r="EEW78" s="278" t="inlineStr"/>
      <c r="EEX78" s="278" t="inlineStr"/>
      <c r="EEY78" s="278" t="inlineStr"/>
      <c r="EEZ78" s="278" t="inlineStr"/>
      <c r="EFA78" s="278" t="inlineStr"/>
      <c r="EFB78" s="278" t="inlineStr"/>
      <c r="EFC78" s="278" t="inlineStr"/>
      <c r="EFD78" s="278" t="inlineStr"/>
      <c r="EFE78" s="278" t="inlineStr"/>
      <c r="EFF78" s="278" t="inlineStr"/>
      <c r="EFG78" s="278" t="inlineStr"/>
      <c r="EFH78" s="278" t="inlineStr"/>
      <c r="EFI78" s="278" t="inlineStr"/>
      <c r="EFJ78" s="278" t="inlineStr"/>
      <c r="EFK78" s="278" t="inlineStr"/>
      <c r="EFL78" s="278" t="inlineStr"/>
      <c r="EFM78" s="278" t="inlineStr"/>
      <c r="EFN78" s="278" t="inlineStr"/>
      <c r="EFO78" s="278" t="inlineStr"/>
      <c r="EFP78" s="278" t="inlineStr"/>
      <c r="EFQ78" s="278" t="inlineStr"/>
      <c r="EFR78" s="278" t="inlineStr"/>
      <c r="EFS78" s="278" t="inlineStr"/>
      <c r="EFT78" s="278" t="inlineStr"/>
      <c r="EFU78" s="278" t="inlineStr"/>
      <c r="EFV78" s="278" t="inlineStr"/>
      <c r="EFW78" s="278" t="inlineStr"/>
      <c r="EFX78" s="278" t="inlineStr"/>
      <c r="EFY78" s="278" t="inlineStr"/>
      <c r="EFZ78" s="278" t="inlineStr"/>
      <c r="EGA78" s="278" t="inlineStr"/>
      <c r="EGB78" s="278" t="inlineStr"/>
      <c r="EGC78" s="278" t="inlineStr"/>
      <c r="EGD78" s="278" t="inlineStr"/>
      <c r="EGE78" s="278" t="inlineStr"/>
      <c r="EGF78" s="278" t="inlineStr"/>
      <c r="EGG78" s="278" t="inlineStr"/>
      <c r="EGH78" s="278" t="inlineStr"/>
      <c r="EGI78" s="278" t="inlineStr"/>
      <c r="EGJ78" s="278" t="inlineStr"/>
      <c r="EGK78" s="278" t="inlineStr"/>
      <c r="EGL78" s="278" t="inlineStr"/>
      <c r="EGM78" s="278" t="inlineStr"/>
      <c r="EGN78" s="278" t="inlineStr"/>
      <c r="EGO78" s="278" t="inlineStr"/>
      <c r="EGP78" s="278" t="inlineStr"/>
      <c r="EGQ78" s="278" t="inlineStr"/>
      <c r="EGR78" s="278" t="inlineStr"/>
      <c r="EGS78" s="278" t="inlineStr"/>
      <c r="EGT78" s="278" t="inlineStr"/>
      <c r="EGU78" s="278" t="inlineStr"/>
      <c r="EGV78" s="278" t="inlineStr"/>
      <c r="EGW78" s="278" t="inlineStr"/>
      <c r="EGX78" s="278" t="inlineStr"/>
      <c r="EGY78" s="278" t="inlineStr"/>
      <c r="EGZ78" s="278" t="inlineStr"/>
      <c r="EHA78" s="278" t="inlineStr"/>
      <c r="EHB78" s="278" t="inlineStr"/>
      <c r="EHC78" s="278" t="inlineStr"/>
      <c r="EHD78" s="278" t="inlineStr"/>
      <c r="EHE78" s="278" t="inlineStr"/>
      <c r="EHF78" s="278" t="inlineStr"/>
      <c r="EHG78" s="278" t="inlineStr"/>
      <c r="EHH78" s="278" t="inlineStr"/>
      <c r="EHI78" s="278" t="inlineStr"/>
      <c r="EHJ78" s="278" t="inlineStr"/>
      <c r="EHK78" s="278" t="inlineStr"/>
      <c r="EHL78" s="278" t="inlineStr"/>
      <c r="EHM78" s="278" t="inlineStr"/>
      <c r="EHN78" s="278" t="inlineStr"/>
      <c r="EHO78" s="278" t="inlineStr"/>
      <c r="EHP78" s="278" t="inlineStr"/>
      <c r="EHQ78" s="278" t="inlineStr"/>
      <c r="EHR78" s="278" t="inlineStr"/>
      <c r="EHS78" s="278" t="inlineStr"/>
      <c r="EHT78" s="278" t="inlineStr"/>
      <c r="EHU78" s="278" t="inlineStr"/>
      <c r="EHV78" s="278" t="inlineStr"/>
      <c r="EHW78" s="278" t="inlineStr"/>
      <c r="EHX78" s="278" t="inlineStr"/>
      <c r="EHY78" s="278" t="inlineStr"/>
      <c r="EHZ78" s="278" t="inlineStr"/>
      <c r="EIA78" s="278" t="inlineStr"/>
      <c r="EIB78" s="278" t="inlineStr"/>
      <c r="EIC78" s="278" t="inlineStr"/>
      <c r="EID78" s="278" t="inlineStr"/>
      <c r="EIE78" s="278" t="inlineStr"/>
      <c r="EIF78" s="278" t="inlineStr"/>
      <c r="EIG78" s="278" t="inlineStr"/>
      <c r="EIH78" s="278" t="inlineStr"/>
      <c r="EII78" s="278" t="inlineStr"/>
      <c r="EIJ78" s="278" t="inlineStr"/>
      <c r="EIK78" s="278" t="inlineStr"/>
      <c r="EIL78" s="278" t="inlineStr"/>
      <c r="EIM78" s="278" t="inlineStr"/>
      <c r="EIN78" s="278" t="inlineStr"/>
      <c r="EIO78" s="278" t="inlineStr"/>
      <c r="EIP78" s="278" t="inlineStr"/>
      <c r="EIQ78" s="278" t="inlineStr"/>
      <c r="EIR78" s="278" t="inlineStr"/>
      <c r="EIS78" s="278" t="inlineStr"/>
      <c r="EIT78" s="278" t="inlineStr"/>
      <c r="EIU78" s="278" t="inlineStr"/>
      <c r="EIV78" s="278" t="inlineStr"/>
      <c r="EIW78" s="278" t="inlineStr"/>
      <c r="EIX78" s="278" t="inlineStr"/>
      <c r="EIY78" s="278" t="inlineStr"/>
      <c r="EIZ78" s="278" t="inlineStr"/>
      <c r="EJA78" s="278" t="inlineStr"/>
      <c r="EJB78" s="278" t="inlineStr"/>
      <c r="EJC78" s="278" t="inlineStr"/>
      <c r="EJD78" s="278" t="inlineStr"/>
      <c r="EJE78" s="278" t="inlineStr"/>
      <c r="EJF78" s="278" t="inlineStr"/>
      <c r="EJG78" s="278" t="inlineStr"/>
      <c r="EJH78" s="278" t="inlineStr"/>
      <c r="EJI78" s="278" t="inlineStr"/>
      <c r="EJJ78" s="278" t="inlineStr"/>
      <c r="EJK78" s="278" t="inlineStr"/>
      <c r="EJL78" s="278" t="inlineStr"/>
      <c r="EJM78" s="278" t="inlineStr"/>
      <c r="EJN78" s="278" t="inlineStr"/>
      <c r="EJO78" s="278" t="inlineStr"/>
      <c r="EJP78" s="278" t="inlineStr"/>
      <c r="EJQ78" s="278" t="inlineStr"/>
      <c r="EJR78" s="278" t="inlineStr"/>
      <c r="EJS78" s="278" t="inlineStr"/>
      <c r="EJT78" s="278" t="inlineStr"/>
      <c r="EJU78" s="278" t="inlineStr"/>
      <c r="EJV78" s="278" t="inlineStr"/>
      <c r="EJW78" s="278" t="inlineStr"/>
      <c r="EJX78" s="278" t="inlineStr"/>
      <c r="EJY78" s="278" t="inlineStr"/>
      <c r="EJZ78" s="278" t="inlineStr"/>
      <c r="EKA78" s="278" t="inlineStr"/>
      <c r="EKB78" s="278" t="inlineStr"/>
      <c r="EKC78" s="278" t="inlineStr"/>
      <c r="EKD78" s="278" t="inlineStr"/>
      <c r="EKE78" s="278" t="inlineStr"/>
      <c r="EKF78" s="278" t="inlineStr"/>
      <c r="EKG78" s="278" t="inlineStr"/>
      <c r="EKH78" s="278" t="inlineStr"/>
      <c r="EKI78" s="278" t="inlineStr"/>
      <c r="EKJ78" s="278" t="inlineStr"/>
      <c r="EKK78" s="278" t="inlineStr"/>
      <c r="EKL78" s="278" t="inlineStr"/>
      <c r="EKM78" s="278" t="inlineStr"/>
      <c r="EKN78" s="278" t="inlineStr"/>
      <c r="EKO78" s="278" t="inlineStr"/>
      <c r="EKP78" s="278" t="inlineStr"/>
      <c r="EKQ78" s="278" t="inlineStr"/>
      <c r="EKR78" s="278" t="inlineStr"/>
      <c r="EKS78" s="278" t="inlineStr"/>
      <c r="EKT78" s="278" t="inlineStr"/>
      <c r="EKU78" s="278" t="inlineStr"/>
      <c r="EKV78" s="278" t="inlineStr"/>
      <c r="EKW78" s="278" t="inlineStr"/>
      <c r="EKX78" s="278" t="inlineStr"/>
      <c r="EKY78" s="278" t="inlineStr"/>
      <c r="EKZ78" s="278" t="inlineStr"/>
      <c r="ELA78" s="278" t="inlineStr"/>
      <c r="ELB78" s="278" t="inlineStr"/>
      <c r="ELC78" s="278" t="inlineStr"/>
      <c r="ELD78" s="278" t="inlineStr"/>
      <c r="ELE78" s="278" t="inlineStr"/>
      <c r="ELF78" s="278" t="inlineStr"/>
      <c r="ELG78" s="278" t="inlineStr"/>
      <c r="ELH78" s="278" t="inlineStr"/>
      <c r="ELI78" s="278" t="inlineStr"/>
      <c r="ELJ78" s="278" t="inlineStr"/>
      <c r="ELK78" s="278" t="inlineStr"/>
      <c r="ELL78" s="278" t="inlineStr"/>
      <c r="ELM78" s="278" t="inlineStr"/>
      <c r="ELN78" s="278" t="inlineStr"/>
      <c r="ELO78" s="278" t="inlineStr"/>
      <c r="ELP78" s="278" t="inlineStr"/>
      <c r="ELQ78" s="278" t="inlineStr"/>
      <c r="ELR78" s="278" t="inlineStr"/>
      <c r="ELS78" s="278" t="inlineStr"/>
      <c r="ELT78" s="278" t="inlineStr"/>
      <c r="ELU78" s="278" t="inlineStr"/>
      <c r="ELV78" s="278" t="inlineStr"/>
      <c r="ELW78" s="278" t="inlineStr"/>
      <c r="ELX78" s="278" t="inlineStr"/>
      <c r="ELY78" s="278" t="inlineStr"/>
      <c r="ELZ78" s="278" t="inlineStr"/>
      <c r="EMA78" s="278" t="inlineStr"/>
      <c r="EMB78" s="278" t="inlineStr"/>
      <c r="EMC78" s="278" t="inlineStr"/>
      <c r="EMD78" s="278" t="inlineStr"/>
      <c r="EME78" s="278" t="inlineStr"/>
      <c r="EMF78" s="278" t="inlineStr"/>
      <c r="EMG78" s="278" t="inlineStr"/>
      <c r="EMH78" s="278" t="inlineStr"/>
      <c r="EMI78" s="278" t="inlineStr"/>
      <c r="EMJ78" s="278" t="inlineStr"/>
      <c r="EMK78" s="278" t="inlineStr"/>
      <c r="EML78" s="278" t="inlineStr"/>
      <c r="EMM78" s="278" t="inlineStr"/>
      <c r="EMN78" s="278" t="inlineStr"/>
      <c r="EMO78" s="278" t="inlineStr"/>
      <c r="EMP78" s="278" t="inlineStr"/>
      <c r="EMQ78" s="278" t="inlineStr"/>
      <c r="EMR78" s="278" t="inlineStr"/>
      <c r="EMS78" s="278" t="inlineStr"/>
      <c r="EMT78" s="278" t="inlineStr"/>
      <c r="EMU78" s="278" t="inlineStr"/>
      <c r="EMV78" s="278" t="inlineStr"/>
      <c r="EMW78" s="278" t="inlineStr"/>
      <c r="EMX78" s="278" t="inlineStr"/>
      <c r="EMY78" s="278" t="inlineStr"/>
      <c r="EMZ78" s="278" t="inlineStr"/>
      <c r="ENA78" s="278" t="inlineStr"/>
      <c r="ENB78" s="278" t="inlineStr"/>
      <c r="ENC78" s="278" t="inlineStr"/>
      <c r="END78" s="278" t="inlineStr"/>
      <c r="ENE78" s="278" t="inlineStr"/>
      <c r="ENF78" s="278" t="inlineStr"/>
      <c r="ENG78" s="278" t="inlineStr"/>
      <c r="ENH78" s="278" t="inlineStr"/>
      <c r="ENI78" s="278" t="inlineStr"/>
      <c r="ENJ78" s="278" t="inlineStr"/>
      <c r="ENK78" s="278" t="inlineStr"/>
      <c r="ENL78" s="278" t="inlineStr"/>
      <c r="ENM78" s="278" t="inlineStr"/>
      <c r="ENN78" s="278" t="inlineStr"/>
      <c r="ENO78" s="278" t="inlineStr"/>
      <c r="ENP78" s="278" t="inlineStr"/>
      <c r="ENQ78" s="278" t="inlineStr"/>
      <c r="ENR78" s="278" t="inlineStr"/>
      <c r="ENS78" s="278" t="inlineStr"/>
      <c r="ENT78" s="278" t="inlineStr"/>
      <c r="ENU78" s="278" t="inlineStr"/>
      <c r="ENV78" s="278" t="inlineStr"/>
      <c r="ENW78" s="278" t="inlineStr"/>
      <c r="ENX78" s="278" t="inlineStr"/>
      <c r="ENY78" s="278" t="inlineStr"/>
      <c r="ENZ78" s="278" t="inlineStr"/>
      <c r="EOA78" s="278" t="inlineStr"/>
      <c r="EOB78" s="278" t="inlineStr"/>
      <c r="EOC78" s="278" t="inlineStr"/>
      <c r="EOD78" s="278" t="inlineStr"/>
      <c r="EOE78" s="278" t="inlineStr"/>
      <c r="EOF78" s="278" t="inlineStr"/>
      <c r="EOG78" s="278" t="inlineStr"/>
      <c r="EOH78" s="278" t="inlineStr"/>
      <c r="EOI78" s="278" t="inlineStr"/>
      <c r="EOJ78" s="278" t="inlineStr"/>
      <c r="EOK78" s="278" t="inlineStr"/>
      <c r="EOL78" s="278" t="inlineStr"/>
      <c r="EOM78" s="278" t="inlineStr"/>
      <c r="EON78" s="278" t="inlineStr"/>
      <c r="EOO78" s="278" t="inlineStr"/>
      <c r="EOP78" s="278" t="inlineStr"/>
      <c r="EOQ78" s="278" t="inlineStr"/>
      <c r="EOR78" s="278" t="inlineStr"/>
      <c r="EOS78" s="278" t="inlineStr"/>
      <c r="EOT78" s="278" t="inlineStr"/>
      <c r="EOU78" s="278" t="inlineStr"/>
      <c r="EOV78" s="278" t="inlineStr"/>
      <c r="EOW78" s="278" t="inlineStr"/>
      <c r="EOX78" s="278" t="inlineStr"/>
      <c r="EOY78" s="278" t="inlineStr"/>
      <c r="EOZ78" s="278" t="inlineStr"/>
      <c r="EPA78" s="278" t="inlineStr"/>
      <c r="EPB78" s="278" t="inlineStr"/>
      <c r="EPC78" s="278" t="inlineStr"/>
      <c r="EPD78" s="278" t="inlineStr"/>
      <c r="EPE78" s="278" t="inlineStr"/>
      <c r="EPF78" s="278" t="inlineStr"/>
      <c r="EPG78" s="278" t="inlineStr"/>
      <c r="EPH78" s="278" t="inlineStr"/>
      <c r="EPI78" s="278" t="inlineStr"/>
      <c r="EPJ78" s="278" t="inlineStr"/>
      <c r="EPK78" s="278" t="inlineStr"/>
      <c r="EPL78" s="278" t="inlineStr"/>
      <c r="EPM78" s="278" t="inlineStr"/>
      <c r="EPN78" s="278" t="inlineStr"/>
      <c r="EPO78" s="278" t="inlineStr"/>
      <c r="EPP78" s="278" t="inlineStr"/>
      <c r="EPQ78" s="278" t="inlineStr"/>
      <c r="EPR78" s="278" t="inlineStr"/>
      <c r="EPS78" s="278" t="inlineStr"/>
      <c r="EPT78" s="278" t="inlineStr"/>
      <c r="EPU78" s="278" t="inlineStr"/>
      <c r="EPV78" s="278" t="inlineStr"/>
      <c r="EPW78" s="278" t="inlineStr"/>
      <c r="EPX78" s="278" t="inlineStr"/>
      <c r="EPY78" s="278" t="inlineStr"/>
      <c r="EPZ78" s="278" t="inlineStr"/>
      <c r="EQA78" s="278" t="inlineStr"/>
      <c r="EQB78" s="278" t="inlineStr"/>
      <c r="EQC78" s="278" t="inlineStr"/>
      <c r="EQD78" s="278" t="inlineStr"/>
      <c r="EQE78" s="278" t="inlineStr"/>
      <c r="EQF78" s="278" t="inlineStr"/>
      <c r="EQG78" s="278" t="inlineStr"/>
      <c r="EQH78" s="278" t="inlineStr"/>
      <c r="EQI78" s="278" t="inlineStr"/>
      <c r="EQJ78" s="278" t="inlineStr"/>
      <c r="EQK78" s="278" t="inlineStr"/>
      <c r="EQL78" s="278" t="inlineStr"/>
      <c r="EQM78" s="278" t="inlineStr"/>
      <c r="EQN78" s="278" t="inlineStr"/>
      <c r="EQO78" s="278" t="inlineStr"/>
      <c r="EQP78" s="278" t="inlineStr"/>
      <c r="EQQ78" s="278" t="inlineStr"/>
      <c r="EQR78" s="278" t="inlineStr"/>
      <c r="EQS78" s="278" t="inlineStr"/>
      <c r="EQT78" s="278" t="inlineStr"/>
      <c r="EQU78" s="278" t="inlineStr"/>
      <c r="EQV78" s="278" t="inlineStr"/>
      <c r="EQW78" s="278" t="inlineStr"/>
      <c r="EQX78" s="278" t="inlineStr"/>
      <c r="EQY78" s="278" t="inlineStr"/>
      <c r="EQZ78" s="278" t="inlineStr"/>
      <c r="ERA78" s="278" t="inlineStr"/>
      <c r="ERB78" s="278" t="inlineStr"/>
      <c r="ERC78" s="278" t="inlineStr"/>
      <c r="ERD78" s="278" t="inlineStr"/>
      <c r="ERE78" s="278" t="inlineStr"/>
      <c r="ERF78" s="278" t="inlineStr"/>
      <c r="ERG78" s="278" t="inlineStr"/>
      <c r="ERH78" s="278" t="inlineStr"/>
      <c r="ERI78" s="278" t="inlineStr"/>
      <c r="ERJ78" s="278" t="inlineStr"/>
      <c r="ERK78" s="278" t="inlineStr"/>
      <c r="ERL78" s="278" t="inlineStr"/>
      <c r="ERM78" s="278" t="inlineStr"/>
      <c r="ERN78" s="278" t="inlineStr"/>
      <c r="ERO78" s="278" t="inlineStr"/>
      <c r="ERP78" s="278" t="inlineStr"/>
      <c r="ERQ78" s="278" t="inlineStr"/>
      <c r="ERR78" s="278" t="inlineStr"/>
      <c r="ERS78" s="278" t="inlineStr"/>
      <c r="ERT78" s="278" t="inlineStr"/>
      <c r="ERU78" s="278" t="inlineStr"/>
      <c r="ERV78" s="278" t="inlineStr"/>
      <c r="ERW78" s="278" t="inlineStr"/>
      <c r="ERX78" s="278" t="inlineStr"/>
      <c r="ERY78" s="278" t="inlineStr"/>
      <c r="ERZ78" s="278" t="inlineStr"/>
      <c r="ESA78" s="278" t="inlineStr"/>
      <c r="ESB78" s="278" t="inlineStr"/>
      <c r="ESC78" s="278" t="inlineStr"/>
      <c r="ESD78" s="278" t="inlineStr"/>
      <c r="ESE78" s="278" t="inlineStr"/>
      <c r="ESF78" s="278" t="inlineStr"/>
      <c r="ESG78" s="278" t="inlineStr"/>
      <c r="ESH78" s="278" t="inlineStr"/>
      <c r="ESI78" s="278" t="inlineStr"/>
      <c r="ESJ78" s="278" t="inlineStr"/>
      <c r="ESK78" s="278" t="inlineStr"/>
      <c r="ESL78" s="278" t="inlineStr"/>
      <c r="ESM78" s="278" t="inlineStr"/>
      <c r="ESN78" s="278" t="inlineStr"/>
      <c r="ESO78" s="278" t="inlineStr"/>
      <c r="ESP78" s="278" t="inlineStr"/>
      <c r="ESQ78" s="278" t="inlineStr"/>
      <c r="ESR78" s="278" t="inlineStr"/>
      <c r="ESS78" s="278" t="inlineStr"/>
      <c r="EST78" s="278" t="inlineStr"/>
      <c r="ESU78" s="278" t="inlineStr"/>
      <c r="ESV78" s="278" t="inlineStr"/>
      <c r="ESW78" s="278" t="inlineStr"/>
      <c r="ESX78" s="278" t="inlineStr"/>
      <c r="ESY78" s="278" t="inlineStr"/>
      <c r="ESZ78" s="278" t="inlineStr"/>
      <c r="ETA78" s="278" t="inlineStr"/>
      <c r="ETB78" s="278" t="inlineStr"/>
      <c r="ETC78" s="278" t="inlineStr"/>
      <c r="ETD78" s="278" t="inlineStr"/>
      <c r="ETE78" s="278" t="inlineStr"/>
      <c r="ETF78" s="278" t="inlineStr"/>
      <c r="ETG78" s="278" t="inlineStr"/>
      <c r="ETH78" s="278" t="inlineStr"/>
      <c r="ETI78" s="278" t="inlineStr"/>
      <c r="ETJ78" s="278" t="inlineStr"/>
      <c r="ETK78" s="278" t="inlineStr"/>
      <c r="ETL78" s="278" t="inlineStr"/>
      <c r="ETM78" s="278" t="inlineStr"/>
      <c r="ETN78" s="278" t="inlineStr"/>
      <c r="ETO78" s="278" t="inlineStr"/>
      <c r="ETP78" s="278" t="inlineStr"/>
      <c r="ETQ78" s="278" t="inlineStr"/>
      <c r="ETR78" s="278" t="inlineStr"/>
      <c r="ETS78" s="278" t="inlineStr"/>
      <c r="ETT78" s="278" t="inlineStr"/>
      <c r="ETU78" s="278" t="inlineStr"/>
      <c r="ETV78" s="278" t="inlineStr"/>
      <c r="ETW78" s="278" t="inlineStr"/>
      <c r="ETX78" s="278" t="inlineStr"/>
      <c r="ETY78" s="278" t="inlineStr"/>
      <c r="ETZ78" s="278" t="inlineStr"/>
      <c r="EUA78" s="278" t="inlineStr"/>
      <c r="EUB78" s="278" t="inlineStr"/>
      <c r="EUC78" s="278" t="inlineStr"/>
      <c r="EUD78" s="278" t="inlineStr"/>
      <c r="EUE78" s="278" t="inlineStr"/>
      <c r="EUF78" s="278" t="inlineStr"/>
      <c r="EUG78" s="278" t="inlineStr"/>
      <c r="EUH78" s="278" t="inlineStr"/>
      <c r="EUI78" s="278" t="inlineStr"/>
      <c r="EUJ78" s="278" t="inlineStr"/>
      <c r="EUK78" s="278" t="inlineStr"/>
      <c r="EUL78" s="278" t="inlineStr"/>
      <c r="EUM78" s="278" t="inlineStr"/>
      <c r="EUN78" s="278" t="inlineStr"/>
      <c r="EUO78" s="278" t="inlineStr"/>
      <c r="EUP78" s="278" t="inlineStr"/>
      <c r="EUQ78" s="278" t="inlineStr"/>
      <c r="EUR78" s="278" t="inlineStr"/>
      <c r="EUS78" s="278" t="inlineStr"/>
      <c r="EUT78" s="278" t="inlineStr"/>
      <c r="EUU78" s="278" t="inlineStr"/>
      <c r="EUV78" s="278" t="inlineStr"/>
      <c r="EUW78" s="278" t="inlineStr"/>
      <c r="EUX78" s="278" t="inlineStr"/>
      <c r="EUY78" s="278" t="inlineStr"/>
      <c r="EUZ78" s="278" t="inlineStr"/>
      <c r="EVA78" s="278" t="inlineStr"/>
      <c r="EVB78" s="278" t="inlineStr"/>
      <c r="EVC78" s="278" t="inlineStr"/>
      <c r="EVD78" s="278" t="inlineStr"/>
      <c r="EVE78" s="278" t="inlineStr"/>
      <c r="EVF78" s="278" t="inlineStr"/>
      <c r="EVG78" s="278" t="inlineStr"/>
      <c r="EVH78" s="278" t="inlineStr"/>
      <c r="EVI78" s="278" t="inlineStr"/>
      <c r="EVJ78" s="278" t="inlineStr"/>
      <c r="EVK78" s="278" t="inlineStr"/>
      <c r="EVL78" s="278" t="inlineStr"/>
      <c r="EVM78" s="278" t="inlineStr"/>
      <c r="EVN78" s="278" t="inlineStr"/>
      <c r="EVO78" s="278" t="inlineStr"/>
      <c r="EVP78" s="278" t="inlineStr"/>
      <c r="EVQ78" s="278" t="inlineStr"/>
      <c r="EVR78" s="278" t="inlineStr"/>
      <c r="EVS78" s="278" t="inlineStr"/>
      <c r="EVT78" s="278" t="inlineStr"/>
      <c r="EVU78" s="278" t="inlineStr"/>
      <c r="EVV78" s="278" t="inlineStr"/>
      <c r="EVW78" s="278" t="inlineStr"/>
      <c r="EVX78" s="278" t="inlineStr"/>
      <c r="EVY78" s="278" t="inlineStr"/>
      <c r="EVZ78" s="278" t="inlineStr"/>
      <c r="EWA78" s="278" t="inlineStr"/>
      <c r="EWB78" s="278" t="inlineStr"/>
      <c r="EWC78" s="278" t="inlineStr"/>
      <c r="EWD78" s="278" t="inlineStr"/>
      <c r="EWE78" s="278" t="inlineStr"/>
      <c r="EWF78" s="278" t="inlineStr"/>
      <c r="EWG78" s="278" t="inlineStr"/>
      <c r="EWH78" s="278" t="inlineStr"/>
      <c r="EWI78" s="278" t="inlineStr"/>
      <c r="EWJ78" s="278" t="inlineStr"/>
      <c r="EWK78" s="278" t="inlineStr"/>
      <c r="EWL78" s="278" t="inlineStr"/>
      <c r="EWM78" s="278" t="inlineStr"/>
      <c r="EWN78" s="278" t="inlineStr"/>
      <c r="EWO78" s="278" t="inlineStr"/>
      <c r="EWP78" s="278" t="inlineStr"/>
      <c r="EWQ78" s="278" t="inlineStr"/>
      <c r="EWR78" s="278" t="inlineStr"/>
      <c r="EWS78" s="278" t="inlineStr"/>
      <c r="EWT78" s="278" t="inlineStr"/>
      <c r="EWU78" s="278" t="inlineStr"/>
      <c r="EWV78" s="278" t="inlineStr"/>
      <c r="EWW78" s="278" t="inlineStr"/>
      <c r="EWX78" s="278" t="inlineStr"/>
      <c r="EWY78" s="278" t="inlineStr"/>
      <c r="EWZ78" s="278" t="inlineStr"/>
      <c r="EXA78" s="278" t="inlineStr"/>
      <c r="EXB78" s="278" t="inlineStr"/>
      <c r="EXC78" s="278" t="inlineStr"/>
      <c r="EXD78" s="278" t="inlineStr"/>
      <c r="EXE78" s="278" t="inlineStr"/>
      <c r="EXF78" s="278" t="inlineStr"/>
      <c r="EXG78" s="278" t="inlineStr"/>
      <c r="EXH78" s="278" t="inlineStr"/>
      <c r="EXI78" s="278" t="inlineStr"/>
      <c r="EXJ78" s="278" t="inlineStr"/>
      <c r="EXK78" s="278" t="inlineStr"/>
      <c r="EXL78" s="278" t="inlineStr"/>
      <c r="EXM78" s="278" t="inlineStr"/>
      <c r="EXN78" s="278" t="inlineStr"/>
      <c r="EXO78" s="278" t="inlineStr"/>
      <c r="EXP78" s="278" t="inlineStr"/>
      <c r="EXQ78" s="278" t="inlineStr"/>
      <c r="EXR78" s="278" t="inlineStr"/>
      <c r="EXS78" s="278" t="inlineStr"/>
      <c r="EXT78" s="278" t="inlineStr"/>
      <c r="EXU78" s="278" t="inlineStr"/>
      <c r="EXV78" s="278" t="inlineStr"/>
      <c r="EXW78" s="278" t="inlineStr"/>
      <c r="EXX78" s="278" t="inlineStr"/>
      <c r="EXY78" s="278" t="inlineStr"/>
      <c r="EXZ78" s="278" t="inlineStr"/>
      <c r="EYA78" s="278" t="inlineStr"/>
      <c r="EYB78" s="278" t="inlineStr"/>
      <c r="EYC78" s="278" t="inlineStr"/>
      <c r="EYD78" s="278" t="inlineStr"/>
      <c r="EYE78" s="278" t="inlineStr"/>
      <c r="EYF78" s="278" t="inlineStr"/>
      <c r="EYG78" s="278" t="inlineStr"/>
      <c r="EYH78" s="278" t="inlineStr"/>
      <c r="EYI78" s="278" t="inlineStr"/>
      <c r="EYJ78" s="278" t="inlineStr"/>
      <c r="EYK78" s="278" t="inlineStr"/>
      <c r="EYL78" s="278" t="inlineStr"/>
      <c r="EYM78" s="278" t="inlineStr"/>
      <c r="EYN78" s="278" t="inlineStr"/>
      <c r="EYO78" s="278" t="inlineStr"/>
      <c r="EYP78" s="278" t="inlineStr"/>
      <c r="EYQ78" s="278" t="inlineStr"/>
      <c r="EYR78" s="278" t="inlineStr"/>
      <c r="EYS78" s="278" t="inlineStr"/>
      <c r="EYT78" s="278" t="inlineStr"/>
      <c r="EYU78" s="278" t="inlineStr"/>
      <c r="EYV78" s="278" t="inlineStr"/>
      <c r="EYW78" s="278" t="inlineStr"/>
      <c r="EYX78" s="278" t="inlineStr"/>
      <c r="EYY78" s="278" t="inlineStr"/>
      <c r="EYZ78" s="278" t="inlineStr"/>
      <c r="EZA78" s="278" t="inlineStr"/>
      <c r="EZB78" s="278" t="inlineStr"/>
      <c r="EZC78" s="278" t="inlineStr"/>
      <c r="EZD78" s="278" t="inlineStr"/>
      <c r="EZE78" s="278" t="inlineStr"/>
      <c r="EZF78" s="278" t="inlineStr"/>
      <c r="EZG78" s="278" t="inlineStr"/>
      <c r="EZH78" s="278" t="inlineStr"/>
      <c r="EZI78" s="278" t="inlineStr"/>
      <c r="EZJ78" s="278" t="inlineStr"/>
      <c r="EZK78" s="278" t="inlineStr"/>
      <c r="EZL78" s="278" t="inlineStr"/>
      <c r="EZM78" s="278" t="inlineStr"/>
      <c r="EZN78" s="278" t="inlineStr"/>
      <c r="EZO78" s="278" t="inlineStr"/>
      <c r="EZP78" s="278" t="inlineStr"/>
      <c r="EZQ78" s="278" t="inlineStr"/>
      <c r="EZR78" s="278" t="inlineStr"/>
      <c r="EZS78" s="278" t="inlineStr"/>
      <c r="EZT78" s="278" t="inlineStr"/>
      <c r="EZU78" s="278" t="inlineStr"/>
      <c r="EZV78" s="278" t="inlineStr"/>
      <c r="EZW78" s="278" t="inlineStr"/>
      <c r="EZX78" s="278" t="inlineStr"/>
      <c r="EZY78" s="278" t="inlineStr"/>
      <c r="EZZ78" s="278" t="inlineStr"/>
      <c r="FAA78" s="278" t="inlineStr"/>
      <c r="FAB78" s="278" t="inlineStr"/>
      <c r="FAC78" s="278" t="inlineStr"/>
      <c r="FAD78" s="278" t="inlineStr"/>
      <c r="FAE78" s="278" t="inlineStr"/>
      <c r="FAF78" s="278" t="inlineStr"/>
      <c r="FAG78" s="278" t="inlineStr"/>
      <c r="FAH78" s="278" t="inlineStr"/>
      <c r="FAI78" s="278" t="inlineStr"/>
      <c r="FAJ78" s="278" t="inlineStr"/>
      <c r="FAK78" s="278" t="inlineStr"/>
      <c r="FAL78" s="278" t="inlineStr"/>
      <c r="FAM78" s="278" t="inlineStr"/>
      <c r="FAN78" s="278" t="inlineStr"/>
      <c r="FAO78" s="278" t="inlineStr"/>
      <c r="FAP78" s="278" t="inlineStr"/>
      <c r="FAQ78" s="278" t="inlineStr"/>
      <c r="FAR78" s="278" t="inlineStr"/>
      <c r="FAS78" s="278" t="inlineStr"/>
      <c r="FAT78" s="278" t="inlineStr"/>
      <c r="FAU78" s="278" t="inlineStr"/>
      <c r="FAV78" s="278" t="inlineStr"/>
      <c r="FAW78" s="278" t="inlineStr"/>
      <c r="FAX78" s="278" t="inlineStr"/>
      <c r="FAY78" s="278" t="inlineStr"/>
      <c r="FAZ78" s="278" t="inlineStr"/>
      <c r="FBA78" s="278" t="inlineStr"/>
      <c r="FBB78" s="278" t="inlineStr"/>
      <c r="FBC78" s="278" t="inlineStr"/>
      <c r="FBD78" s="278" t="inlineStr"/>
      <c r="FBE78" s="278" t="inlineStr"/>
      <c r="FBF78" s="278" t="inlineStr"/>
      <c r="FBG78" s="278" t="inlineStr"/>
      <c r="FBH78" s="278" t="inlineStr"/>
      <c r="FBI78" s="278" t="inlineStr"/>
      <c r="FBJ78" s="278" t="inlineStr"/>
      <c r="FBK78" s="278" t="inlineStr"/>
      <c r="FBL78" s="278" t="inlineStr"/>
      <c r="FBM78" s="278" t="inlineStr"/>
      <c r="FBN78" s="278" t="inlineStr"/>
      <c r="FBO78" s="278" t="inlineStr"/>
      <c r="FBP78" s="278" t="inlineStr"/>
      <c r="FBQ78" s="278" t="inlineStr"/>
      <c r="FBR78" s="278" t="inlineStr"/>
      <c r="FBS78" s="278" t="inlineStr"/>
      <c r="FBT78" s="278" t="inlineStr"/>
      <c r="FBU78" s="278" t="inlineStr"/>
      <c r="FBV78" s="278" t="inlineStr"/>
      <c r="FBW78" s="278" t="inlineStr"/>
      <c r="FBX78" s="278" t="inlineStr"/>
      <c r="FBY78" s="278" t="inlineStr"/>
      <c r="FBZ78" s="278" t="inlineStr"/>
      <c r="FCA78" s="278" t="inlineStr"/>
      <c r="FCB78" s="278" t="inlineStr"/>
      <c r="FCC78" s="278" t="inlineStr"/>
      <c r="FCD78" s="278" t="inlineStr"/>
      <c r="FCE78" s="278" t="inlineStr"/>
      <c r="FCF78" s="278" t="inlineStr"/>
      <c r="FCG78" s="278" t="inlineStr"/>
      <c r="FCH78" s="278" t="inlineStr"/>
      <c r="FCI78" s="278" t="inlineStr"/>
      <c r="FCJ78" s="278" t="inlineStr"/>
      <c r="FCK78" s="278" t="inlineStr"/>
      <c r="FCL78" s="278" t="inlineStr"/>
      <c r="FCM78" s="278" t="inlineStr"/>
      <c r="FCN78" s="278" t="inlineStr"/>
      <c r="FCO78" s="278" t="inlineStr"/>
      <c r="FCP78" s="278" t="inlineStr"/>
      <c r="FCQ78" s="278" t="inlineStr"/>
      <c r="FCR78" s="278" t="inlineStr"/>
      <c r="FCS78" s="278" t="inlineStr"/>
      <c r="FCT78" s="278" t="inlineStr"/>
      <c r="FCU78" s="278" t="inlineStr"/>
      <c r="FCV78" s="278" t="inlineStr"/>
      <c r="FCW78" s="278" t="inlineStr"/>
      <c r="FCX78" s="278" t="inlineStr"/>
      <c r="FCY78" s="278" t="inlineStr"/>
      <c r="FCZ78" s="278" t="inlineStr"/>
      <c r="FDA78" s="278" t="inlineStr"/>
      <c r="FDB78" s="278" t="inlineStr"/>
      <c r="FDC78" s="278" t="inlineStr"/>
      <c r="FDD78" s="278" t="inlineStr"/>
      <c r="FDE78" s="278" t="inlineStr"/>
      <c r="FDF78" s="278" t="inlineStr"/>
      <c r="FDG78" s="278" t="inlineStr"/>
      <c r="FDH78" s="278" t="inlineStr"/>
      <c r="FDI78" s="278" t="inlineStr"/>
      <c r="FDJ78" s="278" t="inlineStr"/>
      <c r="FDK78" s="278" t="inlineStr"/>
      <c r="FDL78" s="278" t="inlineStr"/>
      <c r="FDM78" s="278" t="inlineStr"/>
      <c r="FDN78" s="278" t="inlineStr"/>
      <c r="FDO78" s="278" t="inlineStr"/>
      <c r="FDP78" s="278" t="inlineStr"/>
      <c r="FDQ78" s="278" t="inlineStr"/>
      <c r="FDR78" s="278" t="inlineStr"/>
      <c r="FDS78" s="278" t="inlineStr"/>
      <c r="FDT78" s="278" t="inlineStr"/>
      <c r="FDU78" s="278" t="inlineStr"/>
      <c r="FDV78" s="278" t="inlineStr"/>
      <c r="FDW78" s="278" t="inlineStr"/>
      <c r="FDX78" s="278" t="inlineStr"/>
      <c r="FDY78" s="278" t="inlineStr"/>
      <c r="FDZ78" s="278" t="inlineStr"/>
      <c r="FEA78" s="278" t="inlineStr"/>
      <c r="FEB78" s="278" t="inlineStr"/>
      <c r="FEC78" s="278" t="inlineStr"/>
      <c r="FED78" s="278" t="inlineStr"/>
      <c r="FEE78" s="278" t="inlineStr"/>
      <c r="FEF78" s="278" t="inlineStr"/>
      <c r="FEG78" s="278" t="inlineStr"/>
      <c r="FEH78" s="278" t="inlineStr"/>
      <c r="FEI78" s="278" t="inlineStr"/>
      <c r="FEJ78" s="278" t="inlineStr"/>
      <c r="FEK78" s="278" t="inlineStr"/>
      <c r="FEL78" s="278" t="inlineStr"/>
      <c r="FEM78" s="278" t="inlineStr"/>
      <c r="FEN78" s="278" t="inlineStr"/>
      <c r="FEO78" s="278" t="inlineStr"/>
      <c r="FEP78" s="278" t="inlineStr"/>
      <c r="FEQ78" s="278" t="inlineStr"/>
      <c r="FER78" s="278" t="inlineStr"/>
      <c r="FES78" s="278" t="inlineStr"/>
      <c r="FET78" s="278" t="inlineStr"/>
      <c r="FEU78" s="278" t="inlineStr"/>
      <c r="FEV78" s="278" t="inlineStr"/>
      <c r="FEW78" s="278" t="inlineStr"/>
      <c r="FEX78" s="278" t="inlineStr"/>
      <c r="FEY78" s="278" t="inlineStr"/>
      <c r="FEZ78" s="278" t="inlineStr"/>
      <c r="FFA78" s="278" t="inlineStr"/>
      <c r="FFB78" s="278" t="inlineStr"/>
      <c r="FFC78" s="278" t="inlineStr"/>
      <c r="FFD78" s="278" t="inlineStr"/>
      <c r="FFE78" s="278" t="inlineStr"/>
      <c r="FFF78" s="278" t="inlineStr"/>
      <c r="FFG78" s="278" t="inlineStr"/>
      <c r="FFH78" s="278" t="inlineStr"/>
      <c r="FFI78" s="278" t="inlineStr"/>
      <c r="FFJ78" s="278" t="inlineStr"/>
      <c r="FFK78" s="278" t="inlineStr"/>
      <c r="FFL78" s="278" t="inlineStr"/>
      <c r="FFM78" s="278" t="inlineStr"/>
      <c r="FFN78" s="278" t="inlineStr"/>
      <c r="FFO78" s="278" t="inlineStr"/>
      <c r="FFP78" s="278" t="inlineStr"/>
      <c r="FFQ78" s="278" t="inlineStr"/>
      <c r="FFR78" s="278" t="inlineStr"/>
      <c r="FFS78" s="278" t="inlineStr"/>
      <c r="FFT78" s="278" t="inlineStr"/>
      <c r="FFU78" s="278" t="inlineStr"/>
      <c r="FFV78" s="278" t="inlineStr"/>
      <c r="FFW78" s="278" t="inlineStr"/>
      <c r="FFX78" s="278" t="inlineStr"/>
      <c r="FFY78" s="278" t="inlineStr"/>
      <c r="FFZ78" s="278" t="inlineStr"/>
      <c r="FGA78" s="278" t="inlineStr"/>
      <c r="FGB78" s="278" t="inlineStr"/>
      <c r="FGC78" s="278" t="inlineStr"/>
      <c r="FGD78" s="278" t="inlineStr"/>
      <c r="FGE78" s="278" t="inlineStr"/>
      <c r="FGF78" s="278" t="inlineStr"/>
      <c r="FGG78" s="278" t="inlineStr"/>
      <c r="FGH78" s="278" t="inlineStr"/>
      <c r="FGI78" s="278" t="inlineStr"/>
      <c r="FGJ78" s="278" t="inlineStr"/>
      <c r="FGK78" s="278" t="inlineStr"/>
      <c r="FGL78" s="278" t="inlineStr"/>
      <c r="FGM78" s="278" t="inlineStr"/>
      <c r="FGN78" s="278" t="inlineStr"/>
      <c r="FGO78" s="278" t="inlineStr"/>
      <c r="FGP78" s="278" t="inlineStr"/>
      <c r="FGQ78" s="278" t="inlineStr"/>
      <c r="FGR78" s="278" t="inlineStr"/>
      <c r="FGS78" s="278" t="inlineStr"/>
      <c r="FGT78" s="278" t="inlineStr"/>
      <c r="FGU78" s="278" t="inlineStr"/>
      <c r="FGV78" s="278" t="inlineStr"/>
      <c r="FGW78" s="278" t="inlineStr"/>
      <c r="FGX78" s="278" t="inlineStr"/>
      <c r="FGY78" s="278" t="inlineStr"/>
      <c r="FGZ78" s="278" t="inlineStr"/>
      <c r="FHA78" s="278" t="inlineStr"/>
      <c r="FHB78" s="278" t="inlineStr"/>
      <c r="FHC78" s="278" t="inlineStr"/>
      <c r="FHD78" s="278" t="inlineStr"/>
      <c r="FHE78" s="278" t="inlineStr"/>
      <c r="FHF78" s="278" t="inlineStr"/>
      <c r="FHG78" s="278" t="inlineStr"/>
      <c r="FHH78" s="278" t="inlineStr"/>
      <c r="FHI78" s="278" t="inlineStr"/>
      <c r="FHJ78" s="278" t="inlineStr"/>
      <c r="FHK78" s="278" t="inlineStr"/>
      <c r="FHL78" s="278" t="inlineStr"/>
      <c r="FHM78" s="278" t="inlineStr"/>
      <c r="FHN78" s="278" t="inlineStr"/>
      <c r="FHO78" s="278" t="inlineStr"/>
      <c r="FHP78" s="278" t="inlineStr"/>
      <c r="FHQ78" s="278" t="inlineStr"/>
      <c r="FHR78" s="278" t="inlineStr"/>
      <c r="FHS78" s="278" t="inlineStr"/>
      <c r="FHT78" s="278" t="inlineStr"/>
      <c r="FHU78" s="278" t="inlineStr"/>
      <c r="FHV78" s="278" t="inlineStr"/>
      <c r="FHW78" s="278" t="inlineStr"/>
      <c r="FHX78" s="278" t="inlineStr"/>
      <c r="FHY78" s="278" t="inlineStr"/>
      <c r="FHZ78" s="278" t="inlineStr"/>
      <c r="FIA78" s="278" t="inlineStr"/>
      <c r="FIB78" s="278" t="inlineStr"/>
      <c r="FIC78" s="278" t="inlineStr"/>
      <c r="FID78" s="278" t="inlineStr"/>
      <c r="FIE78" s="278" t="inlineStr"/>
      <c r="FIF78" s="278" t="inlineStr"/>
      <c r="FIG78" s="278" t="inlineStr"/>
      <c r="FIH78" s="278" t="inlineStr"/>
      <c r="FII78" s="278" t="inlineStr"/>
      <c r="FIJ78" s="278" t="inlineStr"/>
      <c r="FIK78" s="278" t="inlineStr"/>
      <c r="FIL78" s="278" t="inlineStr"/>
      <c r="FIM78" s="278" t="inlineStr"/>
      <c r="FIN78" s="278" t="inlineStr"/>
      <c r="FIO78" s="278" t="inlineStr"/>
      <c r="FIP78" s="278" t="inlineStr"/>
      <c r="FIQ78" s="278" t="inlineStr"/>
      <c r="FIR78" s="278" t="inlineStr"/>
      <c r="FIS78" s="278" t="inlineStr"/>
      <c r="FIT78" s="278" t="inlineStr"/>
      <c r="FIU78" s="278" t="inlineStr"/>
      <c r="FIV78" s="278" t="inlineStr"/>
      <c r="FIW78" s="278" t="inlineStr"/>
      <c r="FIX78" s="278" t="inlineStr"/>
      <c r="FIY78" s="278" t="inlineStr"/>
      <c r="FIZ78" s="278" t="inlineStr"/>
      <c r="FJA78" s="278" t="inlineStr"/>
      <c r="FJB78" s="278" t="inlineStr"/>
      <c r="FJC78" s="278" t="inlineStr"/>
      <c r="FJD78" s="278" t="inlineStr"/>
      <c r="FJE78" s="278" t="inlineStr"/>
      <c r="FJF78" s="278" t="inlineStr"/>
      <c r="FJG78" s="278" t="inlineStr"/>
      <c r="FJH78" s="278" t="inlineStr"/>
      <c r="FJI78" s="278" t="inlineStr"/>
      <c r="FJJ78" s="278" t="inlineStr"/>
      <c r="FJK78" s="278" t="inlineStr"/>
      <c r="FJL78" s="278" t="inlineStr"/>
      <c r="FJM78" s="278" t="inlineStr"/>
      <c r="FJN78" s="278" t="inlineStr"/>
      <c r="FJO78" s="278" t="inlineStr"/>
      <c r="FJP78" s="278" t="inlineStr"/>
      <c r="FJQ78" s="278" t="inlineStr"/>
      <c r="FJR78" s="278" t="inlineStr"/>
      <c r="FJS78" s="278" t="inlineStr"/>
      <c r="FJT78" s="278" t="inlineStr"/>
      <c r="FJU78" s="278" t="inlineStr"/>
      <c r="FJV78" s="278" t="inlineStr"/>
      <c r="FJW78" s="278" t="inlineStr"/>
      <c r="FJX78" s="278" t="inlineStr"/>
      <c r="FJY78" s="278" t="inlineStr"/>
      <c r="FJZ78" s="278" t="inlineStr"/>
      <c r="FKA78" s="278" t="inlineStr"/>
      <c r="FKB78" s="278" t="inlineStr"/>
      <c r="FKC78" s="278" t="inlineStr"/>
      <c r="FKD78" s="278" t="inlineStr"/>
      <c r="FKE78" s="278" t="inlineStr"/>
      <c r="FKF78" s="278" t="inlineStr"/>
      <c r="FKG78" s="278" t="inlineStr"/>
      <c r="FKH78" s="278" t="inlineStr"/>
      <c r="FKI78" s="278" t="inlineStr"/>
      <c r="FKJ78" s="278" t="inlineStr"/>
      <c r="FKK78" s="278" t="inlineStr"/>
      <c r="FKL78" s="278" t="inlineStr"/>
      <c r="FKM78" s="278" t="inlineStr"/>
      <c r="FKN78" s="278" t="inlineStr"/>
      <c r="FKO78" s="278" t="inlineStr"/>
      <c r="FKP78" s="278" t="inlineStr"/>
      <c r="FKQ78" s="278" t="inlineStr"/>
      <c r="FKR78" s="278" t="inlineStr"/>
      <c r="FKS78" s="278" t="inlineStr"/>
      <c r="FKT78" s="278" t="inlineStr"/>
      <c r="FKU78" s="278" t="inlineStr"/>
      <c r="FKV78" s="278" t="inlineStr"/>
      <c r="FKW78" s="278" t="inlineStr"/>
      <c r="FKX78" s="278" t="inlineStr"/>
      <c r="FKY78" s="278" t="inlineStr"/>
      <c r="FKZ78" s="278" t="inlineStr"/>
      <c r="FLA78" s="278" t="inlineStr"/>
      <c r="FLB78" s="278" t="inlineStr"/>
      <c r="FLC78" s="278" t="inlineStr"/>
      <c r="FLD78" s="278" t="inlineStr"/>
      <c r="FLE78" s="278" t="inlineStr"/>
      <c r="FLF78" s="278" t="inlineStr"/>
      <c r="FLG78" s="278" t="inlineStr"/>
      <c r="FLH78" s="278" t="inlineStr"/>
      <c r="FLI78" s="278" t="inlineStr"/>
      <c r="FLJ78" s="278" t="inlineStr"/>
      <c r="FLK78" s="278" t="inlineStr"/>
      <c r="FLL78" s="278" t="inlineStr"/>
      <c r="FLM78" s="278" t="inlineStr"/>
      <c r="FLN78" s="278" t="inlineStr"/>
      <c r="FLO78" s="278" t="inlineStr"/>
      <c r="FLP78" s="278" t="inlineStr"/>
      <c r="FLQ78" s="278" t="inlineStr"/>
      <c r="FLR78" s="278" t="inlineStr"/>
      <c r="FLS78" s="278" t="inlineStr"/>
      <c r="FLT78" s="278" t="inlineStr"/>
      <c r="FLU78" s="278" t="inlineStr"/>
      <c r="FLV78" s="278" t="inlineStr"/>
      <c r="FLW78" s="278" t="inlineStr"/>
      <c r="FLX78" s="278" t="inlineStr"/>
      <c r="FLY78" s="278" t="inlineStr"/>
      <c r="FLZ78" s="278" t="inlineStr"/>
      <c r="FMA78" s="278" t="inlineStr"/>
      <c r="FMB78" s="278" t="inlineStr"/>
      <c r="FMC78" s="278" t="inlineStr"/>
      <c r="FMD78" s="278" t="inlineStr"/>
      <c r="FME78" s="278" t="inlineStr"/>
      <c r="FMF78" s="278" t="inlineStr"/>
      <c r="FMG78" s="278" t="inlineStr"/>
      <c r="FMH78" s="278" t="inlineStr"/>
      <c r="FMI78" s="278" t="inlineStr"/>
      <c r="FMJ78" s="278" t="inlineStr"/>
      <c r="FMK78" s="278" t="inlineStr"/>
      <c r="FML78" s="278" t="inlineStr"/>
      <c r="FMM78" s="278" t="inlineStr"/>
      <c r="FMN78" s="278" t="inlineStr"/>
      <c r="FMO78" s="278" t="inlineStr"/>
      <c r="FMP78" s="278" t="inlineStr"/>
      <c r="FMQ78" s="278" t="inlineStr"/>
      <c r="FMR78" s="278" t="inlineStr"/>
      <c r="FMS78" s="278" t="inlineStr"/>
      <c r="FMT78" s="278" t="inlineStr"/>
      <c r="FMU78" s="278" t="inlineStr"/>
      <c r="FMV78" s="278" t="inlineStr"/>
      <c r="FMW78" s="278" t="inlineStr"/>
      <c r="FMX78" s="278" t="inlineStr"/>
      <c r="FMY78" s="278" t="inlineStr"/>
      <c r="FMZ78" s="278" t="inlineStr"/>
      <c r="FNA78" s="278" t="inlineStr"/>
      <c r="FNB78" s="278" t="inlineStr"/>
      <c r="FNC78" s="278" t="inlineStr"/>
      <c r="FND78" s="278" t="inlineStr"/>
      <c r="FNE78" s="278" t="inlineStr"/>
      <c r="FNF78" s="278" t="inlineStr"/>
      <c r="FNG78" s="278" t="inlineStr"/>
      <c r="FNH78" s="278" t="inlineStr"/>
      <c r="FNI78" s="278" t="inlineStr"/>
      <c r="FNJ78" s="278" t="inlineStr"/>
      <c r="FNK78" s="278" t="inlineStr"/>
      <c r="FNL78" s="278" t="inlineStr"/>
      <c r="FNM78" s="278" t="inlineStr"/>
      <c r="FNN78" s="278" t="inlineStr"/>
      <c r="FNO78" s="278" t="inlineStr"/>
      <c r="FNP78" s="278" t="inlineStr"/>
      <c r="FNQ78" s="278" t="inlineStr"/>
      <c r="FNR78" s="278" t="inlineStr"/>
      <c r="FNS78" s="278" t="inlineStr"/>
      <c r="FNT78" s="278" t="inlineStr"/>
      <c r="FNU78" s="278" t="inlineStr"/>
      <c r="FNV78" s="278" t="inlineStr"/>
      <c r="FNW78" s="278" t="inlineStr"/>
      <c r="FNX78" s="278" t="inlineStr"/>
      <c r="FNY78" s="278" t="inlineStr"/>
      <c r="FNZ78" s="278" t="inlineStr"/>
      <c r="FOA78" s="278" t="inlineStr"/>
      <c r="FOB78" s="278" t="inlineStr"/>
      <c r="FOC78" s="278" t="inlineStr"/>
      <c r="FOD78" s="278" t="inlineStr"/>
      <c r="FOE78" s="278" t="inlineStr"/>
      <c r="FOF78" s="278" t="inlineStr"/>
      <c r="FOG78" s="278" t="inlineStr"/>
      <c r="FOH78" s="278" t="inlineStr"/>
      <c r="FOI78" s="278" t="inlineStr"/>
      <c r="FOJ78" s="278" t="inlineStr"/>
      <c r="FOK78" s="278" t="inlineStr"/>
      <c r="FOL78" s="278" t="inlineStr"/>
      <c r="FOM78" s="278" t="inlineStr"/>
      <c r="FON78" s="278" t="inlineStr"/>
      <c r="FOO78" s="278" t="inlineStr"/>
      <c r="FOP78" s="278" t="inlineStr"/>
      <c r="FOQ78" s="278" t="inlineStr"/>
      <c r="FOR78" s="278" t="inlineStr"/>
      <c r="FOS78" s="278" t="inlineStr"/>
      <c r="FOT78" s="278" t="inlineStr"/>
      <c r="FOU78" s="278" t="inlineStr"/>
      <c r="FOV78" s="278" t="inlineStr"/>
      <c r="FOW78" s="278" t="inlineStr"/>
      <c r="FOX78" s="278" t="inlineStr"/>
      <c r="FOY78" s="278" t="inlineStr"/>
      <c r="FOZ78" s="278" t="inlineStr"/>
      <c r="FPA78" s="278" t="inlineStr"/>
      <c r="FPB78" s="278" t="inlineStr"/>
      <c r="FPC78" s="278" t="inlineStr"/>
      <c r="FPD78" s="278" t="inlineStr"/>
      <c r="FPE78" s="278" t="inlineStr"/>
      <c r="FPF78" s="278" t="inlineStr"/>
      <c r="FPG78" s="278" t="inlineStr"/>
      <c r="FPH78" s="278" t="inlineStr"/>
      <c r="FPI78" s="278" t="inlineStr"/>
      <c r="FPJ78" s="278" t="inlineStr"/>
      <c r="FPK78" s="278" t="inlineStr"/>
      <c r="FPL78" s="278" t="inlineStr"/>
      <c r="FPM78" s="278" t="inlineStr"/>
      <c r="FPN78" s="278" t="inlineStr"/>
      <c r="FPO78" s="278" t="inlineStr"/>
      <c r="FPP78" s="278" t="inlineStr"/>
      <c r="FPQ78" s="278" t="inlineStr"/>
      <c r="FPR78" s="278" t="inlineStr"/>
      <c r="FPS78" s="278" t="inlineStr"/>
      <c r="FPT78" s="278" t="inlineStr"/>
      <c r="FPU78" s="278" t="inlineStr"/>
      <c r="FPV78" s="278" t="inlineStr"/>
      <c r="FPW78" s="278" t="inlineStr"/>
      <c r="FPX78" s="278" t="inlineStr"/>
      <c r="FPY78" s="278" t="inlineStr"/>
      <c r="FPZ78" s="278" t="inlineStr"/>
      <c r="FQA78" s="278" t="inlineStr"/>
      <c r="FQB78" s="278" t="inlineStr"/>
      <c r="FQC78" s="278" t="inlineStr"/>
      <c r="FQD78" s="278" t="inlineStr"/>
      <c r="FQE78" s="278" t="inlineStr"/>
      <c r="FQF78" s="278" t="inlineStr"/>
      <c r="FQG78" s="278" t="inlineStr"/>
      <c r="FQH78" s="278" t="inlineStr"/>
      <c r="FQI78" s="278" t="inlineStr"/>
      <c r="FQJ78" s="278" t="inlineStr"/>
      <c r="FQK78" s="278" t="inlineStr"/>
      <c r="FQL78" s="278" t="inlineStr"/>
      <c r="FQM78" s="278" t="inlineStr"/>
      <c r="FQN78" s="278" t="inlineStr"/>
      <c r="FQO78" s="278" t="inlineStr"/>
      <c r="FQP78" s="278" t="inlineStr"/>
      <c r="FQQ78" s="278" t="inlineStr"/>
      <c r="FQR78" s="278" t="inlineStr"/>
      <c r="FQS78" s="278" t="inlineStr"/>
      <c r="FQT78" s="278" t="inlineStr"/>
      <c r="FQU78" s="278" t="inlineStr"/>
      <c r="FQV78" s="278" t="inlineStr"/>
      <c r="FQW78" s="278" t="inlineStr"/>
      <c r="FQX78" s="278" t="inlineStr"/>
      <c r="FQY78" s="278" t="inlineStr"/>
      <c r="FQZ78" s="278" t="inlineStr"/>
      <c r="FRA78" s="278" t="inlineStr"/>
      <c r="FRB78" s="278" t="inlineStr"/>
      <c r="FRC78" s="278" t="inlineStr"/>
      <c r="FRD78" s="278" t="inlineStr"/>
      <c r="FRE78" s="278" t="inlineStr"/>
      <c r="FRF78" s="278" t="inlineStr"/>
      <c r="FRG78" s="278" t="inlineStr"/>
      <c r="FRH78" s="278" t="inlineStr"/>
      <c r="FRI78" s="278" t="inlineStr"/>
      <c r="FRJ78" s="278" t="inlineStr"/>
      <c r="FRK78" s="278" t="inlineStr"/>
      <c r="FRL78" s="278" t="inlineStr"/>
      <c r="FRM78" s="278" t="inlineStr"/>
      <c r="FRN78" s="278" t="inlineStr"/>
      <c r="FRO78" s="278" t="inlineStr"/>
      <c r="FRP78" s="278" t="inlineStr"/>
      <c r="FRQ78" s="278" t="inlineStr"/>
      <c r="FRR78" s="278" t="inlineStr"/>
      <c r="FRS78" s="278" t="inlineStr"/>
      <c r="FRT78" s="278" t="inlineStr"/>
      <c r="FRU78" s="278" t="inlineStr"/>
      <c r="FRV78" s="278" t="inlineStr"/>
      <c r="FRW78" s="278" t="inlineStr"/>
      <c r="FRX78" s="278" t="inlineStr"/>
      <c r="FRY78" s="278" t="inlineStr"/>
      <c r="FRZ78" s="278" t="inlineStr"/>
      <c r="FSA78" s="278" t="inlineStr"/>
      <c r="FSB78" s="278" t="inlineStr"/>
      <c r="FSC78" s="278" t="inlineStr"/>
      <c r="FSD78" s="278" t="inlineStr"/>
      <c r="FSE78" s="278" t="inlineStr"/>
      <c r="FSF78" s="278" t="inlineStr"/>
      <c r="FSG78" s="278" t="inlineStr"/>
      <c r="FSH78" s="278" t="inlineStr"/>
      <c r="FSI78" s="278" t="inlineStr"/>
      <c r="FSJ78" s="278" t="inlineStr"/>
      <c r="FSK78" s="278" t="inlineStr"/>
      <c r="FSL78" s="278" t="inlineStr"/>
      <c r="FSM78" s="278" t="inlineStr"/>
      <c r="FSN78" s="278" t="inlineStr"/>
      <c r="FSO78" s="278" t="inlineStr"/>
      <c r="FSP78" s="278" t="inlineStr"/>
      <c r="FSQ78" s="278" t="inlineStr"/>
      <c r="FSR78" s="278" t="inlineStr"/>
      <c r="FSS78" s="278" t="inlineStr"/>
      <c r="FST78" s="278" t="inlineStr"/>
      <c r="FSU78" s="278" t="inlineStr"/>
      <c r="FSV78" s="278" t="inlineStr"/>
      <c r="FSW78" s="278" t="inlineStr"/>
      <c r="FSX78" s="278" t="inlineStr"/>
      <c r="FSY78" s="278" t="inlineStr"/>
      <c r="FSZ78" s="278" t="inlineStr"/>
      <c r="FTA78" s="278" t="inlineStr"/>
      <c r="FTB78" s="278" t="inlineStr"/>
      <c r="FTC78" s="278" t="inlineStr"/>
      <c r="FTD78" s="278" t="inlineStr"/>
      <c r="FTE78" s="278" t="inlineStr"/>
      <c r="FTF78" s="278" t="inlineStr"/>
      <c r="FTG78" s="278" t="inlineStr"/>
      <c r="FTH78" s="278" t="inlineStr"/>
      <c r="FTI78" s="278" t="inlineStr"/>
      <c r="FTJ78" s="278" t="inlineStr"/>
      <c r="FTK78" s="278" t="inlineStr"/>
      <c r="FTL78" s="278" t="inlineStr"/>
      <c r="FTM78" s="278" t="inlineStr"/>
      <c r="FTN78" s="278" t="inlineStr"/>
      <c r="FTO78" s="278" t="inlineStr"/>
      <c r="FTP78" s="278" t="inlineStr"/>
      <c r="FTQ78" s="278" t="inlineStr"/>
      <c r="FTR78" s="278" t="inlineStr"/>
      <c r="FTS78" s="278" t="inlineStr"/>
      <c r="FTT78" s="278" t="inlineStr"/>
      <c r="FTU78" s="278" t="inlineStr"/>
      <c r="FTV78" s="278" t="inlineStr"/>
      <c r="FTW78" s="278" t="inlineStr"/>
      <c r="FTX78" s="278" t="inlineStr"/>
      <c r="FTY78" s="278" t="inlineStr"/>
      <c r="FTZ78" s="278" t="inlineStr"/>
      <c r="FUA78" s="278" t="inlineStr"/>
      <c r="FUB78" s="278" t="inlineStr"/>
      <c r="FUC78" s="278" t="inlineStr"/>
      <c r="FUD78" s="278" t="inlineStr"/>
      <c r="FUE78" s="278" t="inlineStr"/>
      <c r="FUF78" s="278" t="inlineStr"/>
      <c r="FUG78" s="278" t="inlineStr"/>
      <c r="FUH78" s="278" t="inlineStr"/>
      <c r="FUI78" s="278" t="inlineStr"/>
      <c r="FUJ78" s="278" t="inlineStr"/>
      <c r="FUK78" s="278" t="inlineStr"/>
      <c r="FUL78" s="278" t="inlineStr"/>
      <c r="FUM78" s="278" t="inlineStr"/>
      <c r="FUN78" s="278" t="inlineStr"/>
      <c r="FUO78" s="278" t="inlineStr"/>
      <c r="FUP78" s="278" t="inlineStr"/>
      <c r="FUQ78" s="278" t="inlineStr"/>
      <c r="FUR78" s="278" t="inlineStr"/>
      <c r="FUS78" s="278" t="inlineStr"/>
      <c r="FUT78" s="278" t="inlineStr"/>
      <c r="FUU78" s="278" t="inlineStr"/>
      <c r="FUV78" s="278" t="inlineStr"/>
      <c r="FUW78" s="278" t="inlineStr"/>
      <c r="FUX78" s="278" t="inlineStr"/>
      <c r="FUY78" s="278" t="inlineStr"/>
      <c r="FUZ78" s="278" t="inlineStr"/>
      <c r="FVA78" s="278" t="inlineStr"/>
      <c r="FVB78" s="278" t="inlineStr"/>
      <c r="FVC78" s="278" t="inlineStr"/>
      <c r="FVD78" s="278" t="inlineStr"/>
      <c r="FVE78" s="278" t="inlineStr"/>
      <c r="FVF78" s="278" t="inlineStr"/>
      <c r="FVG78" s="278" t="inlineStr"/>
      <c r="FVH78" s="278" t="inlineStr"/>
      <c r="FVI78" s="278" t="inlineStr"/>
      <c r="FVJ78" s="278" t="inlineStr"/>
      <c r="FVK78" s="278" t="inlineStr"/>
      <c r="FVL78" s="278" t="inlineStr"/>
      <c r="FVM78" s="278" t="inlineStr"/>
      <c r="FVN78" s="278" t="inlineStr"/>
      <c r="FVO78" s="278" t="inlineStr"/>
      <c r="FVP78" s="278" t="inlineStr"/>
      <c r="FVQ78" s="278" t="inlineStr"/>
      <c r="FVR78" s="278" t="inlineStr"/>
      <c r="FVS78" s="278" t="inlineStr"/>
      <c r="FVT78" s="278" t="inlineStr"/>
      <c r="FVU78" s="278" t="inlineStr"/>
      <c r="FVV78" s="278" t="inlineStr"/>
      <c r="FVW78" s="278" t="inlineStr"/>
      <c r="FVX78" s="278" t="inlineStr"/>
      <c r="FVY78" s="278" t="inlineStr"/>
      <c r="FVZ78" s="278" t="inlineStr"/>
      <c r="FWA78" s="278" t="inlineStr"/>
      <c r="FWB78" s="278" t="inlineStr"/>
      <c r="FWC78" s="278" t="inlineStr"/>
      <c r="FWD78" s="278" t="inlineStr"/>
      <c r="FWE78" s="278" t="inlineStr"/>
      <c r="FWF78" s="278" t="inlineStr"/>
      <c r="FWG78" s="278" t="inlineStr"/>
      <c r="FWH78" s="278" t="inlineStr"/>
      <c r="FWI78" s="278" t="inlineStr"/>
      <c r="FWJ78" s="278" t="inlineStr"/>
      <c r="FWK78" s="278" t="inlineStr"/>
      <c r="FWL78" s="278" t="inlineStr"/>
      <c r="FWM78" s="278" t="inlineStr"/>
      <c r="FWN78" s="278" t="inlineStr"/>
      <c r="FWO78" s="278" t="inlineStr"/>
      <c r="FWP78" s="278" t="inlineStr"/>
      <c r="FWQ78" s="278" t="inlineStr"/>
      <c r="FWR78" s="278" t="inlineStr"/>
      <c r="FWS78" s="278" t="inlineStr"/>
      <c r="FWT78" s="278" t="inlineStr"/>
      <c r="FWU78" s="278" t="inlineStr"/>
      <c r="FWV78" s="278" t="inlineStr"/>
      <c r="FWW78" s="278" t="inlineStr"/>
      <c r="FWX78" s="278" t="inlineStr"/>
      <c r="FWY78" s="278" t="inlineStr"/>
      <c r="FWZ78" s="278" t="inlineStr"/>
      <c r="FXA78" s="278" t="inlineStr"/>
      <c r="FXB78" s="278" t="inlineStr"/>
      <c r="FXC78" s="278" t="inlineStr"/>
      <c r="FXD78" s="278" t="inlineStr"/>
      <c r="FXE78" s="278" t="inlineStr"/>
      <c r="FXF78" s="278" t="inlineStr"/>
      <c r="FXG78" s="278" t="inlineStr"/>
      <c r="FXH78" s="278" t="inlineStr"/>
      <c r="FXI78" s="278" t="inlineStr"/>
      <c r="FXJ78" s="278" t="inlineStr"/>
      <c r="FXK78" s="278" t="inlineStr"/>
      <c r="FXL78" s="278" t="inlineStr"/>
      <c r="FXM78" s="278" t="inlineStr"/>
      <c r="FXN78" s="278" t="inlineStr"/>
      <c r="FXO78" s="278" t="inlineStr"/>
      <c r="FXP78" s="278" t="inlineStr"/>
      <c r="FXQ78" s="278" t="inlineStr"/>
      <c r="FXR78" s="278" t="inlineStr"/>
      <c r="FXS78" s="278" t="inlineStr"/>
      <c r="FXT78" s="278" t="inlineStr"/>
      <c r="FXU78" s="278" t="inlineStr"/>
      <c r="FXV78" s="278" t="inlineStr"/>
      <c r="FXW78" s="278" t="inlineStr"/>
      <c r="FXX78" s="278" t="inlineStr"/>
      <c r="FXY78" s="278" t="inlineStr"/>
      <c r="FXZ78" s="278" t="inlineStr"/>
      <c r="FYA78" s="278" t="inlineStr"/>
      <c r="FYB78" s="278" t="inlineStr"/>
      <c r="FYC78" s="278" t="inlineStr"/>
      <c r="FYD78" s="278" t="inlineStr"/>
      <c r="FYE78" s="278" t="inlineStr"/>
      <c r="FYF78" s="278" t="inlineStr"/>
      <c r="FYG78" s="278" t="inlineStr"/>
      <c r="FYH78" s="278" t="inlineStr"/>
      <c r="FYI78" s="278" t="inlineStr"/>
      <c r="FYJ78" s="278" t="inlineStr"/>
      <c r="FYK78" s="278" t="inlineStr"/>
      <c r="FYL78" s="278" t="inlineStr"/>
      <c r="FYM78" s="278" t="inlineStr"/>
      <c r="FYN78" s="278" t="inlineStr"/>
      <c r="FYO78" s="278" t="inlineStr"/>
      <c r="FYP78" s="278" t="inlineStr"/>
      <c r="FYQ78" s="278" t="inlineStr"/>
      <c r="FYR78" s="278" t="inlineStr"/>
      <c r="FYS78" s="278" t="inlineStr"/>
      <c r="FYT78" s="278" t="inlineStr"/>
      <c r="FYU78" s="278" t="inlineStr"/>
      <c r="FYV78" s="278" t="inlineStr"/>
      <c r="FYW78" s="278" t="inlineStr"/>
      <c r="FYX78" s="278" t="inlineStr"/>
      <c r="FYY78" s="278" t="inlineStr"/>
      <c r="FYZ78" s="278" t="inlineStr"/>
      <c r="FZA78" s="278" t="inlineStr"/>
      <c r="FZB78" s="278" t="inlineStr"/>
      <c r="FZC78" s="278" t="inlineStr"/>
      <c r="FZD78" s="278" t="inlineStr"/>
      <c r="FZE78" s="278" t="inlineStr"/>
      <c r="FZF78" s="278" t="inlineStr"/>
      <c r="FZG78" s="278" t="inlineStr"/>
      <c r="FZH78" s="278" t="inlineStr"/>
      <c r="FZI78" s="278" t="inlineStr"/>
      <c r="FZJ78" s="278" t="inlineStr"/>
      <c r="FZK78" s="278" t="inlineStr"/>
      <c r="FZL78" s="278" t="inlineStr"/>
      <c r="FZM78" s="278" t="inlineStr"/>
      <c r="FZN78" s="278" t="inlineStr"/>
      <c r="FZO78" s="278" t="inlineStr"/>
      <c r="FZP78" s="278" t="inlineStr"/>
      <c r="FZQ78" s="278" t="inlineStr"/>
      <c r="FZR78" s="278" t="inlineStr"/>
      <c r="FZS78" s="278" t="inlineStr"/>
      <c r="FZT78" s="278" t="inlineStr"/>
      <c r="FZU78" s="278" t="inlineStr"/>
      <c r="FZV78" s="278" t="inlineStr"/>
      <c r="FZW78" s="278" t="inlineStr"/>
      <c r="FZX78" s="278" t="inlineStr"/>
      <c r="FZY78" s="278" t="inlineStr"/>
      <c r="FZZ78" s="278" t="inlineStr"/>
      <c r="GAA78" s="278" t="inlineStr"/>
      <c r="GAB78" s="278" t="inlineStr"/>
      <c r="GAC78" s="278" t="inlineStr"/>
      <c r="GAD78" s="278" t="inlineStr"/>
      <c r="GAE78" s="278" t="inlineStr"/>
      <c r="GAF78" s="278" t="inlineStr"/>
      <c r="GAG78" s="278" t="inlineStr"/>
      <c r="GAH78" s="278" t="inlineStr"/>
      <c r="GAI78" s="278" t="inlineStr"/>
      <c r="GAJ78" s="278" t="inlineStr"/>
      <c r="GAK78" s="278" t="inlineStr"/>
      <c r="GAL78" s="278" t="inlineStr"/>
      <c r="GAM78" s="278" t="inlineStr"/>
      <c r="GAN78" s="278" t="inlineStr"/>
      <c r="GAO78" s="278" t="inlineStr"/>
      <c r="GAP78" s="278" t="inlineStr"/>
      <c r="GAQ78" s="278" t="inlineStr"/>
      <c r="GAR78" s="278" t="inlineStr"/>
      <c r="GAS78" s="278" t="inlineStr"/>
      <c r="GAT78" s="278" t="inlineStr"/>
      <c r="GAU78" s="278" t="inlineStr"/>
      <c r="GAV78" s="278" t="inlineStr"/>
      <c r="GAW78" s="278" t="inlineStr"/>
      <c r="GAX78" s="278" t="inlineStr"/>
      <c r="GAY78" s="278" t="inlineStr"/>
      <c r="GAZ78" s="278" t="inlineStr"/>
      <c r="GBA78" s="278" t="inlineStr"/>
      <c r="GBB78" s="278" t="inlineStr"/>
      <c r="GBC78" s="278" t="inlineStr"/>
      <c r="GBD78" s="278" t="inlineStr"/>
      <c r="GBE78" s="278" t="inlineStr"/>
      <c r="GBF78" s="278" t="inlineStr"/>
      <c r="GBG78" s="278" t="inlineStr"/>
      <c r="GBH78" s="278" t="inlineStr"/>
      <c r="GBI78" s="278" t="inlineStr"/>
      <c r="GBJ78" s="278" t="inlineStr"/>
      <c r="GBK78" s="278" t="inlineStr"/>
      <c r="GBL78" s="278" t="inlineStr"/>
      <c r="GBM78" s="278" t="inlineStr"/>
      <c r="GBN78" s="278" t="inlineStr"/>
      <c r="GBO78" s="278" t="inlineStr"/>
      <c r="GBP78" s="278" t="inlineStr"/>
      <c r="GBQ78" s="278" t="inlineStr"/>
      <c r="GBR78" s="278" t="inlineStr"/>
      <c r="GBS78" s="278" t="inlineStr"/>
      <c r="GBT78" s="278" t="inlineStr"/>
      <c r="GBU78" s="278" t="inlineStr"/>
      <c r="GBV78" s="278" t="inlineStr"/>
      <c r="GBW78" s="278" t="inlineStr"/>
      <c r="GBX78" s="278" t="inlineStr"/>
      <c r="GBY78" s="278" t="inlineStr"/>
      <c r="GBZ78" s="278" t="inlineStr"/>
      <c r="GCA78" s="278" t="inlineStr"/>
      <c r="GCB78" s="278" t="inlineStr"/>
      <c r="GCC78" s="278" t="inlineStr"/>
      <c r="GCD78" s="278" t="inlineStr"/>
      <c r="GCE78" s="278" t="inlineStr"/>
      <c r="GCF78" s="278" t="inlineStr"/>
      <c r="GCG78" s="278" t="inlineStr"/>
      <c r="GCH78" s="278" t="inlineStr"/>
      <c r="GCI78" s="278" t="inlineStr"/>
      <c r="GCJ78" s="278" t="inlineStr"/>
      <c r="GCK78" s="278" t="inlineStr"/>
      <c r="GCL78" s="278" t="inlineStr"/>
      <c r="GCM78" s="278" t="inlineStr"/>
      <c r="GCN78" s="278" t="inlineStr"/>
      <c r="GCO78" s="278" t="inlineStr"/>
      <c r="GCP78" s="278" t="inlineStr"/>
      <c r="GCQ78" s="278" t="inlineStr"/>
      <c r="GCR78" s="278" t="inlineStr"/>
      <c r="GCS78" s="278" t="inlineStr"/>
      <c r="GCT78" s="278" t="inlineStr"/>
      <c r="GCU78" s="278" t="inlineStr"/>
      <c r="GCV78" s="278" t="inlineStr"/>
      <c r="GCW78" s="278" t="inlineStr"/>
      <c r="GCX78" s="278" t="inlineStr"/>
      <c r="GCY78" s="278" t="inlineStr"/>
      <c r="GCZ78" s="278" t="inlineStr"/>
      <c r="GDA78" s="278" t="inlineStr"/>
      <c r="GDB78" s="278" t="inlineStr"/>
      <c r="GDC78" s="278" t="inlineStr"/>
      <c r="GDD78" s="278" t="inlineStr"/>
      <c r="GDE78" s="278" t="inlineStr"/>
      <c r="GDF78" s="278" t="inlineStr"/>
      <c r="GDG78" s="278" t="inlineStr"/>
      <c r="GDH78" s="278" t="inlineStr"/>
      <c r="GDI78" s="278" t="inlineStr"/>
      <c r="GDJ78" s="278" t="inlineStr"/>
      <c r="GDK78" s="278" t="inlineStr"/>
      <c r="GDL78" s="278" t="inlineStr"/>
      <c r="GDM78" s="278" t="inlineStr"/>
      <c r="GDN78" s="278" t="inlineStr"/>
      <c r="GDO78" s="278" t="inlineStr"/>
      <c r="GDP78" s="278" t="inlineStr"/>
      <c r="GDQ78" s="278" t="inlineStr"/>
      <c r="GDR78" s="278" t="inlineStr"/>
      <c r="GDS78" s="278" t="inlineStr"/>
      <c r="GDT78" s="278" t="inlineStr"/>
      <c r="GDU78" s="278" t="inlineStr"/>
      <c r="GDV78" s="278" t="inlineStr"/>
      <c r="GDW78" s="278" t="inlineStr"/>
      <c r="GDX78" s="278" t="inlineStr"/>
      <c r="GDY78" s="278" t="inlineStr"/>
      <c r="GDZ78" s="278" t="inlineStr"/>
      <c r="GEA78" s="278" t="inlineStr"/>
      <c r="GEB78" s="278" t="inlineStr"/>
      <c r="GEC78" s="278" t="inlineStr"/>
      <c r="GED78" s="278" t="inlineStr"/>
      <c r="GEE78" s="278" t="inlineStr"/>
      <c r="GEF78" s="278" t="inlineStr"/>
      <c r="GEG78" s="278" t="inlineStr"/>
      <c r="GEH78" s="278" t="inlineStr"/>
      <c r="GEI78" s="278" t="inlineStr"/>
      <c r="GEJ78" s="278" t="inlineStr"/>
      <c r="GEK78" s="278" t="inlineStr"/>
      <c r="GEL78" s="278" t="inlineStr"/>
      <c r="GEM78" s="278" t="inlineStr"/>
      <c r="GEN78" s="278" t="inlineStr"/>
      <c r="GEO78" s="278" t="inlineStr"/>
      <c r="GEP78" s="278" t="inlineStr"/>
      <c r="GEQ78" s="278" t="inlineStr"/>
      <c r="GER78" s="278" t="inlineStr"/>
      <c r="GES78" s="278" t="inlineStr"/>
      <c r="GET78" s="278" t="inlineStr"/>
      <c r="GEU78" s="278" t="inlineStr"/>
      <c r="GEV78" s="278" t="inlineStr"/>
      <c r="GEW78" s="278" t="inlineStr"/>
      <c r="GEX78" s="278" t="inlineStr"/>
      <c r="GEY78" s="278" t="inlineStr"/>
      <c r="GEZ78" s="278" t="inlineStr"/>
      <c r="GFA78" s="278" t="inlineStr"/>
      <c r="GFB78" s="278" t="inlineStr"/>
      <c r="GFC78" s="278" t="inlineStr"/>
      <c r="GFD78" s="278" t="inlineStr"/>
      <c r="GFE78" s="278" t="inlineStr"/>
      <c r="GFF78" s="278" t="inlineStr"/>
      <c r="GFG78" s="278" t="inlineStr"/>
      <c r="GFH78" s="278" t="inlineStr"/>
      <c r="GFI78" s="278" t="inlineStr"/>
      <c r="GFJ78" s="278" t="inlineStr"/>
      <c r="GFK78" s="278" t="inlineStr"/>
      <c r="GFL78" s="278" t="inlineStr"/>
      <c r="GFM78" s="278" t="inlineStr"/>
      <c r="GFN78" s="278" t="inlineStr"/>
      <c r="GFO78" s="278" t="inlineStr"/>
      <c r="GFP78" s="278" t="inlineStr"/>
      <c r="GFQ78" s="278" t="inlineStr"/>
      <c r="GFR78" s="278" t="inlineStr"/>
      <c r="GFS78" s="278" t="inlineStr"/>
      <c r="GFT78" s="278" t="inlineStr"/>
      <c r="GFU78" s="278" t="inlineStr"/>
      <c r="GFV78" s="278" t="inlineStr"/>
      <c r="GFW78" s="278" t="inlineStr"/>
      <c r="GFX78" s="278" t="inlineStr"/>
      <c r="GFY78" s="278" t="inlineStr"/>
      <c r="GFZ78" s="278" t="inlineStr"/>
      <c r="GGA78" s="278" t="inlineStr"/>
      <c r="GGB78" s="278" t="inlineStr"/>
      <c r="GGC78" s="278" t="inlineStr"/>
      <c r="GGD78" s="278" t="inlineStr"/>
      <c r="GGE78" s="278" t="inlineStr"/>
      <c r="GGF78" s="278" t="inlineStr"/>
      <c r="GGG78" s="278" t="inlineStr"/>
      <c r="GGH78" s="278" t="inlineStr"/>
      <c r="GGI78" s="278" t="inlineStr"/>
      <c r="GGJ78" s="278" t="inlineStr"/>
      <c r="GGK78" s="278" t="inlineStr"/>
      <c r="GGL78" s="278" t="inlineStr"/>
      <c r="GGM78" s="278" t="inlineStr"/>
      <c r="GGN78" s="278" t="inlineStr"/>
      <c r="GGO78" s="278" t="inlineStr"/>
      <c r="GGP78" s="278" t="inlineStr"/>
      <c r="GGQ78" s="278" t="inlineStr"/>
      <c r="GGR78" s="278" t="inlineStr"/>
      <c r="GGS78" s="278" t="inlineStr"/>
      <c r="GGT78" s="278" t="inlineStr"/>
      <c r="GGU78" s="278" t="inlineStr"/>
      <c r="GGV78" s="278" t="inlineStr"/>
      <c r="GGW78" s="278" t="inlineStr"/>
      <c r="GGX78" s="278" t="inlineStr"/>
      <c r="GGY78" s="278" t="inlineStr"/>
      <c r="GGZ78" s="278" t="inlineStr"/>
      <c r="GHA78" s="278" t="inlineStr"/>
      <c r="GHB78" s="278" t="inlineStr"/>
      <c r="GHC78" s="278" t="inlineStr"/>
      <c r="GHD78" s="278" t="inlineStr"/>
      <c r="GHE78" s="278" t="inlineStr"/>
      <c r="GHF78" s="278" t="inlineStr"/>
      <c r="GHG78" s="278" t="inlineStr"/>
      <c r="GHH78" s="278" t="inlineStr"/>
      <c r="GHI78" s="278" t="inlineStr"/>
      <c r="GHJ78" s="278" t="inlineStr"/>
      <c r="GHK78" s="278" t="inlineStr"/>
      <c r="GHL78" s="278" t="inlineStr"/>
      <c r="GHM78" s="278" t="inlineStr"/>
      <c r="GHN78" s="278" t="inlineStr"/>
      <c r="GHO78" s="278" t="inlineStr"/>
      <c r="GHP78" s="278" t="inlineStr"/>
      <c r="GHQ78" s="278" t="inlineStr"/>
      <c r="GHR78" s="278" t="inlineStr"/>
      <c r="GHS78" s="278" t="inlineStr"/>
      <c r="GHT78" s="278" t="inlineStr"/>
      <c r="GHU78" s="278" t="inlineStr"/>
      <c r="GHV78" s="278" t="inlineStr"/>
      <c r="GHW78" s="278" t="inlineStr"/>
      <c r="GHX78" s="278" t="inlineStr"/>
      <c r="GHY78" s="278" t="inlineStr"/>
      <c r="GHZ78" s="278" t="inlineStr"/>
      <c r="GIA78" s="278" t="inlineStr"/>
      <c r="GIB78" s="278" t="inlineStr"/>
      <c r="GIC78" s="278" t="inlineStr"/>
      <c r="GID78" s="278" t="inlineStr"/>
      <c r="GIE78" s="278" t="inlineStr"/>
      <c r="GIF78" s="278" t="inlineStr"/>
      <c r="GIG78" s="278" t="inlineStr"/>
      <c r="GIH78" s="278" t="inlineStr"/>
      <c r="GII78" s="278" t="inlineStr"/>
      <c r="GIJ78" s="278" t="inlineStr"/>
      <c r="GIK78" s="278" t="inlineStr"/>
      <c r="GIL78" s="278" t="inlineStr"/>
      <c r="GIM78" s="278" t="inlineStr"/>
      <c r="GIN78" s="278" t="inlineStr"/>
      <c r="GIO78" s="278" t="inlineStr"/>
      <c r="GIP78" s="278" t="inlineStr"/>
      <c r="GIQ78" s="278" t="inlineStr"/>
      <c r="GIR78" s="278" t="inlineStr"/>
      <c r="GIS78" s="278" t="inlineStr"/>
      <c r="GIT78" s="278" t="inlineStr"/>
      <c r="GIU78" s="278" t="inlineStr"/>
      <c r="GIV78" s="278" t="inlineStr"/>
      <c r="GIW78" s="278" t="inlineStr"/>
      <c r="GIX78" s="278" t="inlineStr"/>
      <c r="GIY78" s="278" t="inlineStr"/>
      <c r="GIZ78" s="278" t="inlineStr"/>
      <c r="GJA78" s="278" t="inlineStr"/>
      <c r="GJB78" s="278" t="inlineStr"/>
      <c r="GJC78" s="278" t="inlineStr"/>
      <c r="GJD78" s="278" t="inlineStr"/>
      <c r="GJE78" s="278" t="inlineStr"/>
      <c r="GJF78" s="278" t="inlineStr"/>
      <c r="GJG78" s="278" t="inlineStr"/>
      <c r="GJH78" s="278" t="inlineStr"/>
      <c r="GJI78" s="278" t="inlineStr"/>
      <c r="GJJ78" s="278" t="inlineStr"/>
      <c r="GJK78" s="278" t="inlineStr"/>
      <c r="GJL78" s="278" t="inlineStr"/>
      <c r="GJM78" s="278" t="inlineStr"/>
      <c r="GJN78" s="278" t="inlineStr"/>
      <c r="GJO78" s="278" t="inlineStr"/>
      <c r="GJP78" s="278" t="inlineStr"/>
      <c r="GJQ78" s="278" t="inlineStr"/>
      <c r="GJR78" s="278" t="inlineStr"/>
      <c r="GJS78" s="278" t="inlineStr"/>
      <c r="GJT78" s="278" t="inlineStr"/>
      <c r="GJU78" s="278" t="inlineStr"/>
      <c r="GJV78" s="278" t="inlineStr"/>
      <c r="GJW78" s="278" t="inlineStr"/>
      <c r="GJX78" s="278" t="inlineStr"/>
      <c r="GJY78" s="278" t="inlineStr"/>
      <c r="GJZ78" s="278" t="inlineStr"/>
      <c r="GKA78" s="278" t="inlineStr"/>
      <c r="GKB78" s="278" t="inlineStr"/>
      <c r="GKC78" s="278" t="inlineStr"/>
      <c r="GKD78" s="278" t="inlineStr"/>
      <c r="GKE78" s="278" t="inlineStr"/>
      <c r="GKF78" s="278" t="inlineStr"/>
      <c r="GKG78" s="278" t="inlineStr"/>
      <c r="GKH78" s="278" t="inlineStr"/>
      <c r="GKI78" s="278" t="inlineStr"/>
      <c r="GKJ78" s="278" t="inlineStr"/>
      <c r="GKK78" s="278" t="inlineStr"/>
      <c r="GKL78" s="278" t="inlineStr"/>
      <c r="GKM78" s="278" t="inlineStr"/>
      <c r="GKN78" s="278" t="inlineStr"/>
      <c r="GKO78" s="278" t="inlineStr"/>
      <c r="GKP78" s="278" t="inlineStr"/>
      <c r="GKQ78" s="278" t="inlineStr"/>
      <c r="GKR78" s="278" t="inlineStr"/>
      <c r="GKS78" s="278" t="inlineStr"/>
      <c r="GKT78" s="278" t="inlineStr"/>
      <c r="GKU78" s="278" t="inlineStr"/>
      <c r="GKV78" s="278" t="inlineStr"/>
      <c r="GKW78" s="278" t="inlineStr"/>
      <c r="GKX78" s="278" t="inlineStr"/>
      <c r="GKY78" s="278" t="inlineStr"/>
      <c r="GKZ78" s="278" t="inlineStr"/>
      <c r="GLA78" s="278" t="inlineStr"/>
      <c r="GLB78" s="278" t="inlineStr"/>
      <c r="GLC78" s="278" t="inlineStr"/>
      <c r="GLD78" s="278" t="inlineStr"/>
      <c r="GLE78" s="278" t="inlineStr"/>
      <c r="GLF78" s="278" t="inlineStr"/>
      <c r="GLG78" s="278" t="inlineStr"/>
      <c r="GLH78" s="278" t="inlineStr"/>
      <c r="GLI78" s="278" t="inlineStr"/>
      <c r="GLJ78" s="278" t="inlineStr"/>
      <c r="GLK78" s="278" t="inlineStr"/>
      <c r="GLL78" s="278" t="inlineStr"/>
      <c r="GLM78" s="278" t="inlineStr"/>
      <c r="GLN78" s="278" t="inlineStr"/>
      <c r="GLO78" s="278" t="inlineStr"/>
      <c r="GLP78" s="278" t="inlineStr"/>
      <c r="GLQ78" s="278" t="inlineStr"/>
      <c r="GLR78" s="278" t="inlineStr"/>
      <c r="GLS78" s="278" t="inlineStr"/>
      <c r="GLT78" s="278" t="inlineStr"/>
      <c r="GLU78" s="278" t="inlineStr"/>
      <c r="GLV78" s="278" t="inlineStr"/>
      <c r="GLW78" s="278" t="inlineStr"/>
      <c r="GLX78" s="278" t="inlineStr"/>
      <c r="GLY78" s="278" t="inlineStr"/>
      <c r="GLZ78" s="278" t="inlineStr"/>
      <c r="GMA78" s="278" t="inlineStr"/>
      <c r="GMB78" s="278" t="inlineStr"/>
      <c r="GMC78" s="278" t="inlineStr"/>
      <c r="GMD78" s="278" t="inlineStr"/>
      <c r="GME78" s="278" t="inlineStr"/>
      <c r="GMF78" s="278" t="inlineStr"/>
      <c r="GMG78" s="278" t="inlineStr"/>
      <c r="GMH78" s="278" t="inlineStr"/>
      <c r="GMI78" s="278" t="inlineStr"/>
      <c r="GMJ78" s="278" t="inlineStr"/>
      <c r="GMK78" s="278" t="inlineStr"/>
      <c r="GML78" s="278" t="inlineStr"/>
      <c r="GMM78" s="278" t="inlineStr"/>
      <c r="GMN78" s="278" t="inlineStr"/>
      <c r="GMO78" s="278" t="inlineStr"/>
      <c r="GMP78" s="278" t="inlineStr"/>
      <c r="GMQ78" s="278" t="inlineStr"/>
      <c r="GMR78" s="278" t="inlineStr"/>
      <c r="GMS78" s="278" t="inlineStr"/>
      <c r="GMT78" s="278" t="inlineStr"/>
      <c r="GMU78" s="278" t="inlineStr"/>
      <c r="GMV78" s="278" t="inlineStr"/>
      <c r="GMW78" s="278" t="inlineStr"/>
      <c r="GMX78" s="278" t="inlineStr"/>
      <c r="GMY78" s="278" t="inlineStr"/>
      <c r="GMZ78" s="278" t="inlineStr"/>
      <c r="GNA78" s="278" t="inlineStr"/>
      <c r="GNB78" s="278" t="inlineStr"/>
      <c r="GNC78" s="278" t="inlineStr"/>
      <c r="GND78" s="278" t="inlineStr"/>
      <c r="GNE78" s="278" t="inlineStr"/>
      <c r="GNF78" s="278" t="inlineStr"/>
      <c r="GNG78" s="278" t="inlineStr"/>
      <c r="GNH78" s="278" t="inlineStr"/>
      <c r="GNI78" s="278" t="inlineStr"/>
      <c r="GNJ78" s="278" t="inlineStr"/>
      <c r="GNK78" s="278" t="inlineStr"/>
      <c r="GNL78" s="278" t="inlineStr"/>
      <c r="GNM78" s="278" t="inlineStr"/>
      <c r="GNN78" s="278" t="inlineStr"/>
      <c r="GNO78" s="278" t="inlineStr"/>
      <c r="GNP78" s="278" t="inlineStr"/>
      <c r="GNQ78" s="278" t="inlineStr"/>
      <c r="GNR78" s="278" t="inlineStr"/>
      <c r="GNS78" s="278" t="inlineStr"/>
      <c r="GNT78" s="278" t="inlineStr"/>
      <c r="GNU78" s="278" t="inlineStr"/>
      <c r="GNV78" s="278" t="inlineStr"/>
      <c r="GNW78" s="278" t="inlineStr"/>
      <c r="GNX78" s="278" t="inlineStr"/>
      <c r="GNY78" s="278" t="inlineStr"/>
      <c r="GNZ78" s="278" t="inlineStr"/>
      <c r="GOA78" s="278" t="inlineStr"/>
      <c r="GOB78" s="278" t="inlineStr"/>
      <c r="GOC78" s="278" t="inlineStr"/>
      <c r="GOD78" s="278" t="inlineStr"/>
      <c r="GOE78" s="278" t="inlineStr"/>
      <c r="GOF78" s="278" t="inlineStr"/>
      <c r="GOG78" s="278" t="inlineStr"/>
      <c r="GOH78" s="278" t="inlineStr"/>
      <c r="GOI78" s="278" t="inlineStr"/>
      <c r="GOJ78" s="278" t="inlineStr"/>
      <c r="GOK78" s="278" t="inlineStr"/>
      <c r="GOL78" s="278" t="inlineStr"/>
      <c r="GOM78" s="278" t="inlineStr"/>
      <c r="GON78" s="278" t="inlineStr"/>
      <c r="GOO78" s="278" t="inlineStr"/>
      <c r="GOP78" s="278" t="inlineStr"/>
      <c r="GOQ78" s="278" t="inlineStr"/>
      <c r="GOR78" s="278" t="inlineStr"/>
      <c r="GOS78" s="278" t="inlineStr"/>
      <c r="GOT78" s="278" t="inlineStr"/>
      <c r="GOU78" s="278" t="inlineStr"/>
      <c r="GOV78" s="278" t="inlineStr"/>
      <c r="GOW78" s="278" t="inlineStr"/>
      <c r="GOX78" s="278" t="inlineStr"/>
      <c r="GOY78" s="278" t="inlineStr"/>
      <c r="GOZ78" s="278" t="inlineStr"/>
      <c r="GPA78" s="278" t="inlineStr"/>
      <c r="GPB78" s="278" t="inlineStr"/>
      <c r="GPC78" s="278" t="inlineStr"/>
      <c r="GPD78" s="278" t="inlineStr"/>
      <c r="GPE78" s="278" t="inlineStr"/>
      <c r="GPF78" s="278" t="inlineStr"/>
      <c r="GPG78" s="278" t="inlineStr"/>
      <c r="GPH78" s="278" t="inlineStr"/>
      <c r="GPI78" s="278" t="inlineStr"/>
      <c r="GPJ78" s="278" t="inlineStr"/>
      <c r="GPK78" s="278" t="inlineStr"/>
      <c r="GPL78" s="278" t="inlineStr"/>
      <c r="GPM78" s="278" t="inlineStr"/>
      <c r="GPN78" s="278" t="inlineStr"/>
      <c r="GPO78" s="278" t="inlineStr"/>
      <c r="GPP78" s="278" t="inlineStr"/>
      <c r="GPQ78" s="278" t="inlineStr"/>
      <c r="GPR78" s="278" t="inlineStr"/>
      <c r="GPS78" s="278" t="inlineStr"/>
      <c r="GPT78" s="278" t="inlineStr"/>
      <c r="GPU78" s="278" t="inlineStr"/>
      <c r="GPV78" s="278" t="inlineStr"/>
      <c r="GPW78" s="278" t="inlineStr"/>
      <c r="GPX78" s="278" t="inlineStr"/>
      <c r="GPY78" s="278" t="inlineStr"/>
      <c r="GPZ78" s="278" t="inlineStr"/>
      <c r="GQA78" s="278" t="inlineStr"/>
      <c r="GQB78" s="278" t="inlineStr"/>
      <c r="GQC78" s="278" t="inlineStr"/>
      <c r="GQD78" s="278" t="inlineStr"/>
      <c r="GQE78" s="278" t="inlineStr"/>
      <c r="GQF78" s="278" t="inlineStr"/>
      <c r="GQG78" s="278" t="inlineStr"/>
      <c r="GQH78" s="278" t="inlineStr"/>
      <c r="GQI78" s="278" t="inlineStr"/>
      <c r="GQJ78" s="278" t="inlineStr"/>
      <c r="GQK78" s="278" t="inlineStr"/>
      <c r="GQL78" s="278" t="inlineStr"/>
      <c r="GQM78" s="278" t="inlineStr"/>
      <c r="GQN78" s="278" t="inlineStr"/>
      <c r="GQO78" s="278" t="inlineStr"/>
      <c r="GQP78" s="278" t="inlineStr"/>
      <c r="GQQ78" s="278" t="inlineStr"/>
      <c r="GQR78" s="278" t="inlineStr"/>
      <c r="GQS78" s="278" t="inlineStr"/>
      <c r="GQT78" s="278" t="inlineStr"/>
      <c r="GQU78" s="278" t="inlineStr"/>
      <c r="GQV78" s="278" t="inlineStr"/>
      <c r="GQW78" s="278" t="inlineStr"/>
      <c r="GQX78" s="278" t="inlineStr"/>
      <c r="GQY78" s="278" t="inlineStr"/>
      <c r="GQZ78" s="278" t="inlineStr"/>
      <c r="GRA78" s="278" t="inlineStr"/>
      <c r="GRB78" s="278" t="inlineStr"/>
      <c r="GRC78" s="278" t="inlineStr"/>
      <c r="GRD78" s="278" t="inlineStr"/>
      <c r="GRE78" s="278" t="inlineStr"/>
      <c r="GRF78" s="278" t="inlineStr"/>
      <c r="GRG78" s="278" t="inlineStr"/>
      <c r="GRH78" s="278" t="inlineStr"/>
      <c r="GRI78" s="278" t="inlineStr"/>
      <c r="GRJ78" s="278" t="inlineStr"/>
      <c r="GRK78" s="278" t="inlineStr"/>
      <c r="GRL78" s="278" t="inlineStr"/>
      <c r="GRM78" s="278" t="inlineStr"/>
      <c r="GRN78" s="278" t="inlineStr"/>
      <c r="GRO78" s="278" t="inlineStr"/>
      <c r="GRP78" s="278" t="inlineStr"/>
      <c r="GRQ78" s="278" t="inlineStr"/>
      <c r="GRR78" s="278" t="inlineStr"/>
      <c r="GRS78" s="278" t="inlineStr"/>
      <c r="GRT78" s="278" t="inlineStr"/>
      <c r="GRU78" s="278" t="inlineStr"/>
      <c r="GRV78" s="278" t="inlineStr"/>
      <c r="GRW78" s="278" t="inlineStr"/>
      <c r="GRX78" s="278" t="inlineStr"/>
      <c r="GRY78" s="278" t="inlineStr"/>
      <c r="GRZ78" s="278" t="inlineStr"/>
      <c r="GSA78" s="278" t="inlineStr"/>
      <c r="GSB78" s="278" t="inlineStr"/>
      <c r="GSC78" s="278" t="inlineStr"/>
      <c r="GSD78" s="278" t="inlineStr"/>
      <c r="GSE78" s="278" t="inlineStr"/>
      <c r="GSF78" s="278" t="inlineStr"/>
      <c r="GSG78" s="278" t="inlineStr"/>
      <c r="GSH78" s="278" t="inlineStr"/>
      <c r="GSI78" s="278" t="inlineStr"/>
      <c r="GSJ78" s="278" t="inlineStr"/>
      <c r="GSK78" s="278" t="inlineStr"/>
      <c r="GSL78" s="278" t="inlineStr"/>
      <c r="GSM78" s="278" t="inlineStr"/>
      <c r="GSN78" s="278" t="inlineStr"/>
      <c r="GSO78" s="278" t="inlineStr"/>
      <c r="GSP78" s="278" t="inlineStr"/>
      <c r="GSQ78" s="278" t="inlineStr"/>
      <c r="GSR78" s="278" t="inlineStr"/>
      <c r="GSS78" s="278" t="inlineStr"/>
      <c r="GST78" s="278" t="inlineStr"/>
      <c r="GSU78" s="278" t="inlineStr"/>
      <c r="GSV78" s="278" t="inlineStr"/>
      <c r="GSW78" s="278" t="inlineStr"/>
      <c r="GSX78" s="278" t="inlineStr"/>
      <c r="GSY78" s="278" t="inlineStr"/>
      <c r="GSZ78" s="278" t="inlineStr"/>
      <c r="GTA78" s="278" t="inlineStr"/>
      <c r="GTB78" s="278" t="inlineStr"/>
      <c r="GTC78" s="278" t="inlineStr"/>
      <c r="GTD78" s="278" t="inlineStr"/>
      <c r="GTE78" s="278" t="inlineStr"/>
      <c r="GTF78" s="278" t="inlineStr"/>
      <c r="GTG78" s="278" t="inlineStr"/>
      <c r="GTH78" s="278" t="inlineStr"/>
      <c r="GTI78" s="278" t="inlineStr"/>
      <c r="GTJ78" s="278" t="inlineStr"/>
      <c r="GTK78" s="278" t="inlineStr"/>
      <c r="GTL78" s="278" t="inlineStr"/>
      <c r="GTM78" s="278" t="inlineStr"/>
      <c r="GTN78" s="278" t="inlineStr"/>
      <c r="GTO78" s="278" t="inlineStr"/>
      <c r="GTP78" s="278" t="inlineStr"/>
      <c r="GTQ78" s="278" t="inlineStr"/>
      <c r="GTR78" s="278" t="inlineStr"/>
      <c r="GTS78" s="278" t="inlineStr"/>
      <c r="GTT78" s="278" t="inlineStr"/>
      <c r="GTU78" s="278" t="inlineStr"/>
      <c r="GTV78" s="278" t="inlineStr"/>
      <c r="GTW78" s="278" t="inlineStr"/>
      <c r="GTX78" s="278" t="inlineStr"/>
      <c r="GTY78" s="278" t="inlineStr"/>
      <c r="GTZ78" s="278" t="inlineStr"/>
      <c r="GUA78" s="278" t="inlineStr"/>
      <c r="GUB78" s="278" t="inlineStr"/>
      <c r="GUC78" s="278" t="inlineStr"/>
      <c r="GUD78" s="278" t="inlineStr"/>
      <c r="GUE78" s="278" t="inlineStr"/>
      <c r="GUF78" s="278" t="inlineStr"/>
      <c r="GUG78" s="278" t="inlineStr"/>
      <c r="GUH78" s="278" t="inlineStr"/>
      <c r="GUI78" s="278" t="inlineStr"/>
      <c r="GUJ78" s="278" t="inlineStr"/>
      <c r="GUK78" s="278" t="inlineStr"/>
      <c r="GUL78" s="278" t="inlineStr"/>
      <c r="GUM78" s="278" t="inlineStr"/>
      <c r="GUN78" s="278" t="inlineStr"/>
      <c r="GUO78" s="278" t="inlineStr"/>
      <c r="GUP78" s="278" t="inlineStr"/>
      <c r="GUQ78" s="278" t="inlineStr"/>
      <c r="GUR78" s="278" t="inlineStr"/>
      <c r="GUS78" s="278" t="inlineStr"/>
      <c r="GUT78" s="278" t="inlineStr"/>
      <c r="GUU78" s="278" t="inlineStr"/>
      <c r="GUV78" s="278" t="inlineStr"/>
      <c r="GUW78" s="278" t="inlineStr"/>
      <c r="GUX78" s="278" t="inlineStr"/>
      <c r="GUY78" s="278" t="inlineStr"/>
      <c r="GUZ78" s="278" t="inlineStr"/>
      <c r="GVA78" s="278" t="inlineStr"/>
      <c r="GVB78" s="278" t="inlineStr"/>
      <c r="GVC78" s="278" t="inlineStr"/>
      <c r="GVD78" s="278" t="inlineStr"/>
      <c r="GVE78" s="278" t="inlineStr"/>
      <c r="GVF78" s="278" t="inlineStr"/>
      <c r="GVG78" s="278" t="inlineStr"/>
      <c r="GVH78" s="278" t="inlineStr"/>
      <c r="GVI78" s="278" t="inlineStr"/>
      <c r="GVJ78" s="278" t="inlineStr"/>
      <c r="GVK78" s="278" t="inlineStr"/>
      <c r="GVL78" s="278" t="inlineStr"/>
      <c r="GVM78" s="278" t="inlineStr"/>
      <c r="GVN78" s="278" t="inlineStr"/>
      <c r="GVO78" s="278" t="inlineStr"/>
      <c r="GVP78" s="278" t="inlineStr"/>
      <c r="GVQ78" s="278" t="inlineStr"/>
      <c r="GVR78" s="278" t="inlineStr"/>
      <c r="GVS78" s="278" t="inlineStr"/>
      <c r="GVT78" s="278" t="inlineStr"/>
      <c r="GVU78" s="278" t="inlineStr"/>
      <c r="GVV78" s="278" t="inlineStr"/>
      <c r="GVW78" s="278" t="inlineStr"/>
      <c r="GVX78" s="278" t="inlineStr"/>
      <c r="GVY78" s="278" t="inlineStr"/>
      <c r="GVZ78" s="278" t="inlineStr"/>
      <c r="GWA78" s="278" t="inlineStr"/>
      <c r="GWB78" s="278" t="inlineStr"/>
      <c r="GWC78" s="278" t="inlineStr"/>
      <c r="GWD78" s="278" t="inlineStr"/>
      <c r="GWE78" s="278" t="inlineStr"/>
      <c r="GWF78" s="278" t="inlineStr"/>
      <c r="GWG78" s="278" t="inlineStr"/>
      <c r="GWH78" s="278" t="inlineStr"/>
      <c r="GWI78" s="278" t="inlineStr"/>
      <c r="GWJ78" s="278" t="inlineStr"/>
      <c r="GWK78" s="278" t="inlineStr"/>
      <c r="GWL78" s="278" t="inlineStr"/>
      <c r="GWM78" s="278" t="inlineStr"/>
      <c r="GWN78" s="278" t="inlineStr"/>
      <c r="GWO78" s="278" t="inlineStr"/>
      <c r="GWP78" s="278" t="inlineStr"/>
      <c r="GWQ78" s="278" t="inlineStr"/>
      <c r="GWR78" s="278" t="inlineStr"/>
      <c r="GWS78" s="278" t="inlineStr"/>
      <c r="GWT78" s="278" t="inlineStr"/>
      <c r="GWU78" s="278" t="inlineStr"/>
      <c r="GWV78" s="278" t="inlineStr"/>
      <c r="GWW78" s="278" t="inlineStr"/>
      <c r="GWX78" s="278" t="inlineStr"/>
      <c r="GWY78" s="278" t="inlineStr"/>
      <c r="GWZ78" s="278" t="inlineStr"/>
      <c r="GXA78" s="278" t="inlineStr"/>
      <c r="GXB78" s="278" t="inlineStr"/>
      <c r="GXC78" s="278" t="inlineStr"/>
      <c r="GXD78" s="278" t="inlineStr"/>
      <c r="GXE78" s="278" t="inlineStr"/>
      <c r="GXF78" s="278" t="inlineStr"/>
      <c r="GXG78" s="278" t="inlineStr"/>
      <c r="GXH78" s="278" t="inlineStr"/>
      <c r="GXI78" s="278" t="inlineStr"/>
      <c r="GXJ78" s="278" t="inlineStr"/>
      <c r="GXK78" s="278" t="inlineStr"/>
      <c r="GXL78" s="278" t="inlineStr"/>
      <c r="GXM78" s="278" t="inlineStr"/>
      <c r="GXN78" s="278" t="inlineStr"/>
      <c r="GXO78" s="278" t="inlineStr"/>
      <c r="GXP78" s="278" t="inlineStr"/>
      <c r="GXQ78" s="278" t="inlineStr"/>
      <c r="GXR78" s="278" t="inlineStr"/>
      <c r="GXS78" s="278" t="inlineStr"/>
      <c r="GXT78" s="278" t="inlineStr"/>
      <c r="GXU78" s="278" t="inlineStr"/>
      <c r="GXV78" s="278" t="inlineStr"/>
      <c r="GXW78" s="278" t="inlineStr"/>
      <c r="GXX78" s="278" t="inlineStr"/>
      <c r="GXY78" s="278" t="inlineStr"/>
      <c r="GXZ78" s="278" t="inlineStr"/>
      <c r="GYA78" s="278" t="inlineStr"/>
      <c r="GYB78" s="278" t="inlineStr"/>
      <c r="GYC78" s="278" t="inlineStr"/>
      <c r="GYD78" s="278" t="inlineStr"/>
      <c r="GYE78" s="278" t="inlineStr"/>
      <c r="GYF78" s="278" t="inlineStr"/>
      <c r="GYG78" s="278" t="inlineStr"/>
      <c r="GYH78" s="278" t="inlineStr"/>
      <c r="GYI78" s="278" t="inlineStr"/>
      <c r="GYJ78" s="278" t="inlineStr"/>
      <c r="GYK78" s="278" t="inlineStr"/>
      <c r="GYL78" s="278" t="inlineStr"/>
      <c r="GYM78" s="278" t="inlineStr"/>
      <c r="GYN78" s="278" t="inlineStr"/>
      <c r="GYO78" s="278" t="inlineStr"/>
      <c r="GYP78" s="278" t="inlineStr"/>
      <c r="GYQ78" s="278" t="inlineStr"/>
      <c r="GYR78" s="278" t="inlineStr"/>
      <c r="GYS78" s="278" t="inlineStr"/>
      <c r="GYT78" s="278" t="inlineStr"/>
      <c r="GYU78" s="278" t="inlineStr"/>
      <c r="GYV78" s="278" t="inlineStr"/>
      <c r="GYW78" s="278" t="inlineStr"/>
      <c r="GYX78" s="278" t="inlineStr"/>
      <c r="GYY78" s="278" t="inlineStr"/>
      <c r="GYZ78" s="278" t="inlineStr"/>
      <c r="GZA78" s="278" t="inlineStr"/>
      <c r="GZB78" s="278" t="inlineStr"/>
      <c r="GZC78" s="278" t="inlineStr"/>
      <c r="GZD78" s="278" t="inlineStr"/>
      <c r="GZE78" s="278" t="inlineStr"/>
      <c r="GZF78" s="278" t="inlineStr"/>
      <c r="GZG78" s="278" t="inlineStr"/>
      <c r="GZH78" s="278" t="inlineStr"/>
      <c r="GZI78" s="278" t="inlineStr"/>
      <c r="GZJ78" s="278" t="inlineStr"/>
      <c r="GZK78" s="278" t="inlineStr"/>
      <c r="GZL78" s="278" t="inlineStr"/>
      <c r="GZM78" s="278" t="inlineStr"/>
      <c r="GZN78" s="278" t="inlineStr"/>
      <c r="GZO78" s="278" t="inlineStr"/>
      <c r="GZP78" s="278" t="inlineStr"/>
      <c r="GZQ78" s="278" t="inlineStr"/>
      <c r="GZR78" s="278" t="inlineStr"/>
      <c r="GZS78" s="278" t="inlineStr"/>
      <c r="GZT78" s="278" t="inlineStr"/>
      <c r="GZU78" s="278" t="inlineStr"/>
      <c r="GZV78" s="278" t="inlineStr"/>
      <c r="GZW78" s="278" t="inlineStr"/>
      <c r="GZX78" s="278" t="inlineStr"/>
      <c r="GZY78" s="278" t="inlineStr"/>
      <c r="GZZ78" s="278" t="inlineStr"/>
      <c r="HAA78" s="278" t="inlineStr"/>
      <c r="HAB78" s="278" t="inlineStr"/>
      <c r="HAC78" s="278" t="inlineStr"/>
      <c r="HAD78" s="278" t="inlineStr"/>
      <c r="HAE78" s="278" t="inlineStr"/>
      <c r="HAF78" s="278" t="inlineStr"/>
      <c r="HAG78" s="278" t="inlineStr"/>
      <c r="HAH78" s="278" t="inlineStr"/>
      <c r="HAI78" s="278" t="inlineStr"/>
      <c r="HAJ78" s="278" t="inlineStr"/>
      <c r="HAK78" s="278" t="inlineStr"/>
      <c r="HAL78" s="278" t="inlineStr"/>
      <c r="HAM78" s="278" t="inlineStr"/>
      <c r="HAN78" s="278" t="inlineStr"/>
      <c r="HAO78" s="278" t="inlineStr"/>
      <c r="HAP78" s="278" t="inlineStr"/>
      <c r="HAQ78" s="278" t="inlineStr"/>
      <c r="HAR78" s="278" t="inlineStr"/>
      <c r="HAS78" s="278" t="inlineStr"/>
      <c r="HAT78" s="278" t="inlineStr"/>
      <c r="HAU78" s="278" t="inlineStr"/>
      <c r="HAV78" s="278" t="inlineStr"/>
      <c r="HAW78" s="278" t="inlineStr"/>
      <c r="HAX78" s="278" t="inlineStr"/>
      <c r="HAY78" s="278" t="inlineStr"/>
      <c r="HAZ78" s="278" t="inlineStr"/>
      <c r="HBA78" s="278" t="inlineStr"/>
      <c r="HBB78" s="278" t="inlineStr"/>
      <c r="HBC78" s="278" t="inlineStr"/>
      <c r="HBD78" s="278" t="inlineStr"/>
      <c r="HBE78" s="278" t="inlineStr"/>
      <c r="HBF78" s="278" t="inlineStr"/>
      <c r="HBG78" s="278" t="inlineStr"/>
      <c r="HBH78" s="278" t="inlineStr"/>
      <c r="HBI78" s="278" t="inlineStr"/>
      <c r="HBJ78" s="278" t="inlineStr"/>
      <c r="HBK78" s="278" t="inlineStr"/>
      <c r="HBL78" s="278" t="inlineStr"/>
      <c r="HBM78" s="278" t="inlineStr"/>
      <c r="HBN78" s="278" t="inlineStr"/>
      <c r="HBO78" s="278" t="inlineStr"/>
      <c r="HBP78" s="278" t="inlineStr"/>
      <c r="HBQ78" s="278" t="inlineStr"/>
      <c r="HBR78" s="278" t="inlineStr"/>
      <c r="HBS78" s="278" t="inlineStr"/>
      <c r="HBT78" s="278" t="inlineStr"/>
      <c r="HBU78" s="278" t="inlineStr"/>
      <c r="HBV78" s="278" t="inlineStr"/>
      <c r="HBW78" s="278" t="inlineStr"/>
      <c r="HBX78" s="278" t="inlineStr"/>
      <c r="HBY78" s="278" t="inlineStr"/>
      <c r="HBZ78" s="278" t="inlineStr"/>
      <c r="HCA78" s="278" t="inlineStr"/>
      <c r="HCB78" s="278" t="inlineStr"/>
      <c r="HCC78" s="278" t="inlineStr"/>
      <c r="HCD78" s="278" t="inlineStr"/>
      <c r="HCE78" s="278" t="inlineStr"/>
      <c r="HCF78" s="278" t="inlineStr"/>
      <c r="HCG78" s="278" t="inlineStr"/>
      <c r="HCH78" s="278" t="inlineStr"/>
      <c r="HCI78" s="278" t="inlineStr"/>
      <c r="HCJ78" s="278" t="inlineStr"/>
      <c r="HCK78" s="278" t="inlineStr"/>
      <c r="HCL78" s="278" t="inlineStr"/>
      <c r="HCM78" s="278" t="inlineStr"/>
      <c r="HCN78" s="278" t="inlineStr"/>
      <c r="HCO78" s="278" t="inlineStr"/>
      <c r="HCP78" s="278" t="inlineStr"/>
      <c r="HCQ78" s="278" t="inlineStr"/>
      <c r="HCR78" s="278" t="inlineStr"/>
      <c r="HCS78" s="278" t="inlineStr"/>
      <c r="HCT78" s="278" t="inlineStr"/>
      <c r="HCU78" s="278" t="inlineStr"/>
      <c r="HCV78" s="278" t="inlineStr"/>
      <c r="HCW78" s="278" t="inlineStr"/>
      <c r="HCX78" s="278" t="inlineStr"/>
      <c r="HCY78" s="278" t="inlineStr"/>
      <c r="HCZ78" s="278" t="inlineStr"/>
      <c r="HDA78" s="278" t="inlineStr"/>
      <c r="HDB78" s="278" t="inlineStr"/>
      <c r="HDC78" s="278" t="inlineStr"/>
      <c r="HDD78" s="278" t="inlineStr"/>
      <c r="HDE78" s="278" t="inlineStr"/>
      <c r="HDF78" s="278" t="inlineStr"/>
      <c r="HDG78" s="278" t="inlineStr"/>
      <c r="HDH78" s="278" t="inlineStr"/>
      <c r="HDI78" s="278" t="inlineStr"/>
      <c r="HDJ78" s="278" t="inlineStr"/>
      <c r="HDK78" s="278" t="inlineStr"/>
      <c r="HDL78" s="278" t="inlineStr"/>
      <c r="HDM78" s="278" t="inlineStr"/>
      <c r="HDN78" s="278" t="inlineStr"/>
      <c r="HDO78" s="278" t="inlineStr"/>
      <c r="HDP78" s="278" t="inlineStr"/>
      <c r="HDQ78" s="278" t="inlineStr"/>
      <c r="HDR78" s="278" t="inlineStr"/>
      <c r="HDS78" s="278" t="inlineStr"/>
      <c r="HDT78" s="278" t="inlineStr"/>
      <c r="HDU78" s="278" t="inlineStr"/>
      <c r="HDV78" s="278" t="inlineStr"/>
      <c r="HDW78" s="278" t="inlineStr"/>
      <c r="HDX78" s="278" t="inlineStr"/>
      <c r="HDY78" s="278" t="inlineStr"/>
      <c r="HDZ78" s="278" t="inlineStr"/>
      <c r="HEA78" s="278" t="inlineStr"/>
      <c r="HEB78" s="278" t="inlineStr"/>
      <c r="HEC78" s="278" t="inlineStr"/>
      <c r="HED78" s="278" t="inlineStr"/>
      <c r="HEE78" s="278" t="inlineStr"/>
      <c r="HEF78" s="278" t="inlineStr"/>
      <c r="HEG78" s="278" t="inlineStr"/>
      <c r="HEH78" s="278" t="inlineStr"/>
      <c r="HEI78" s="278" t="inlineStr"/>
      <c r="HEJ78" s="278" t="inlineStr"/>
      <c r="HEK78" s="278" t="inlineStr"/>
      <c r="HEL78" s="278" t="inlineStr"/>
      <c r="HEM78" s="278" t="inlineStr"/>
      <c r="HEN78" s="278" t="inlineStr"/>
      <c r="HEO78" s="278" t="inlineStr"/>
      <c r="HEP78" s="278" t="inlineStr"/>
      <c r="HEQ78" s="278" t="inlineStr"/>
      <c r="HER78" s="278" t="inlineStr"/>
      <c r="HES78" s="278" t="inlineStr"/>
      <c r="HET78" s="278" t="inlineStr"/>
      <c r="HEU78" s="278" t="inlineStr"/>
      <c r="HEV78" s="278" t="inlineStr"/>
      <c r="HEW78" s="278" t="inlineStr"/>
      <c r="HEX78" s="278" t="inlineStr"/>
      <c r="HEY78" s="278" t="inlineStr"/>
      <c r="HEZ78" s="278" t="inlineStr"/>
      <c r="HFA78" s="278" t="inlineStr"/>
      <c r="HFB78" s="278" t="inlineStr"/>
      <c r="HFC78" s="278" t="inlineStr"/>
      <c r="HFD78" s="278" t="inlineStr"/>
      <c r="HFE78" s="278" t="inlineStr"/>
      <c r="HFF78" s="278" t="inlineStr"/>
      <c r="HFG78" s="278" t="inlineStr"/>
      <c r="HFH78" s="278" t="inlineStr"/>
      <c r="HFI78" s="278" t="inlineStr"/>
      <c r="HFJ78" s="278" t="inlineStr"/>
      <c r="HFK78" s="278" t="inlineStr"/>
      <c r="HFL78" s="278" t="inlineStr"/>
      <c r="HFM78" s="278" t="inlineStr"/>
      <c r="HFN78" s="278" t="inlineStr"/>
      <c r="HFO78" s="278" t="inlineStr"/>
      <c r="HFP78" s="278" t="inlineStr"/>
      <c r="HFQ78" s="278" t="inlineStr"/>
      <c r="HFR78" s="278" t="inlineStr"/>
      <c r="HFS78" s="278" t="inlineStr"/>
      <c r="HFT78" s="278" t="inlineStr"/>
      <c r="HFU78" s="278" t="inlineStr"/>
      <c r="HFV78" s="278" t="inlineStr"/>
      <c r="HFW78" s="278" t="inlineStr"/>
      <c r="HFX78" s="278" t="inlineStr"/>
      <c r="HFY78" s="278" t="inlineStr"/>
      <c r="HFZ78" s="278" t="inlineStr"/>
      <c r="HGA78" s="278" t="inlineStr"/>
      <c r="HGB78" s="278" t="inlineStr"/>
      <c r="HGC78" s="278" t="inlineStr"/>
      <c r="HGD78" s="278" t="inlineStr"/>
      <c r="HGE78" s="278" t="inlineStr"/>
      <c r="HGF78" s="278" t="inlineStr"/>
      <c r="HGG78" s="278" t="inlineStr"/>
      <c r="HGH78" s="278" t="inlineStr"/>
      <c r="HGI78" s="278" t="inlineStr"/>
      <c r="HGJ78" s="278" t="inlineStr"/>
      <c r="HGK78" s="278" t="inlineStr"/>
      <c r="HGL78" s="278" t="inlineStr"/>
      <c r="HGM78" s="278" t="inlineStr"/>
      <c r="HGN78" s="278" t="inlineStr"/>
      <c r="HGO78" s="278" t="inlineStr"/>
      <c r="HGP78" s="278" t="inlineStr"/>
      <c r="HGQ78" s="278" t="inlineStr"/>
      <c r="HGR78" s="278" t="inlineStr"/>
      <c r="HGS78" s="278" t="inlineStr"/>
      <c r="HGT78" s="278" t="inlineStr"/>
      <c r="HGU78" s="278" t="inlineStr"/>
      <c r="HGV78" s="278" t="inlineStr"/>
      <c r="HGW78" s="278" t="inlineStr"/>
      <c r="HGX78" s="278" t="inlineStr"/>
      <c r="HGY78" s="278" t="inlineStr"/>
      <c r="HGZ78" s="278" t="inlineStr"/>
      <c r="HHA78" s="278" t="inlineStr"/>
      <c r="HHB78" s="278" t="inlineStr"/>
      <c r="HHC78" s="278" t="inlineStr"/>
      <c r="HHD78" s="278" t="inlineStr"/>
      <c r="HHE78" s="278" t="inlineStr"/>
      <c r="HHF78" s="278" t="inlineStr"/>
      <c r="HHG78" s="278" t="inlineStr"/>
      <c r="HHH78" s="278" t="inlineStr"/>
      <c r="HHI78" s="278" t="inlineStr"/>
      <c r="HHJ78" s="278" t="inlineStr"/>
      <c r="HHK78" s="278" t="inlineStr"/>
      <c r="HHL78" s="278" t="inlineStr"/>
      <c r="HHM78" s="278" t="inlineStr"/>
      <c r="HHN78" s="278" t="inlineStr"/>
      <c r="HHO78" s="278" t="inlineStr"/>
      <c r="HHP78" s="278" t="inlineStr"/>
      <c r="HHQ78" s="278" t="inlineStr"/>
      <c r="HHR78" s="278" t="inlineStr"/>
      <c r="HHS78" s="278" t="inlineStr"/>
      <c r="HHT78" s="278" t="inlineStr"/>
      <c r="HHU78" s="278" t="inlineStr"/>
      <c r="HHV78" s="278" t="inlineStr"/>
      <c r="HHW78" s="278" t="inlineStr"/>
      <c r="HHX78" s="278" t="inlineStr"/>
      <c r="HHY78" s="278" t="inlineStr"/>
      <c r="HHZ78" s="278" t="inlineStr"/>
      <c r="HIA78" s="278" t="inlineStr"/>
      <c r="HIB78" s="278" t="inlineStr"/>
      <c r="HIC78" s="278" t="inlineStr"/>
      <c r="HID78" s="278" t="inlineStr"/>
      <c r="HIE78" s="278" t="inlineStr"/>
      <c r="HIF78" s="278" t="inlineStr"/>
      <c r="HIG78" s="278" t="inlineStr"/>
      <c r="HIH78" s="278" t="inlineStr"/>
      <c r="HII78" s="278" t="inlineStr"/>
      <c r="HIJ78" s="278" t="inlineStr"/>
      <c r="HIK78" s="278" t="inlineStr"/>
      <c r="HIL78" s="278" t="inlineStr"/>
      <c r="HIM78" s="278" t="inlineStr"/>
      <c r="HIN78" s="278" t="inlineStr"/>
      <c r="HIO78" s="278" t="inlineStr"/>
      <c r="HIP78" s="278" t="inlineStr"/>
      <c r="HIQ78" s="278" t="inlineStr"/>
      <c r="HIR78" s="278" t="inlineStr"/>
      <c r="HIS78" s="278" t="inlineStr"/>
      <c r="HIT78" s="278" t="inlineStr"/>
      <c r="HIU78" s="278" t="inlineStr"/>
      <c r="HIV78" s="278" t="inlineStr"/>
      <c r="HIW78" s="278" t="inlineStr"/>
      <c r="HIX78" s="278" t="inlineStr"/>
      <c r="HIY78" s="278" t="inlineStr"/>
      <c r="HIZ78" s="278" t="inlineStr"/>
      <c r="HJA78" s="278" t="inlineStr"/>
      <c r="HJB78" s="278" t="inlineStr"/>
      <c r="HJC78" s="278" t="inlineStr"/>
      <c r="HJD78" s="278" t="inlineStr"/>
      <c r="HJE78" s="278" t="inlineStr"/>
      <c r="HJF78" s="278" t="inlineStr"/>
      <c r="HJG78" s="278" t="inlineStr"/>
      <c r="HJH78" s="278" t="inlineStr"/>
      <c r="HJI78" s="278" t="inlineStr"/>
      <c r="HJJ78" s="278" t="inlineStr"/>
      <c r="HJK78" s="278" t="inlineStr"/>
      <c r="HJL78" s="278" t="inlineStr"/>
      <c r="HJM78" s="278" t="inlineStr"/>
      <c r="HJN78" s="278" t="inlineStr"/>
      <c r="HJO78" s="278" t="inlineStr"/>
      <c r="HJP78" s="278" t="inlineStr"/>
      <c r="HJQ78" s="278" t="inlineStr"/>
      <c r="HJR78" s="278" t="inlineStr"/>
      <c r="HJS78" s="278" t="inlineStr"/>
      <c r="HJT78" s="278" t="inlineStr"/>
      <c r="HJU78" s="278" t="inlineStr"/>
      <c r="HJV78" s="278" t="inlineStr"/>
      <c r="HJW78" s="278" t="inlineStr"/>
      <c r="HJX78" s="278" t="inlineStr"/>
      <c r="HJY78" s="278" t="inlineStr"/>
      <c r="HJZ78" s="278" t="inlineStr"/>
      <c r="HKA78" s="278" t="inlineStr"/>
      <c r="HKB78" s="278" t="inlineStr"/>
      <c r="HKC78" s="278" t="inlineStr"/>
      <c r="HKD78" s="278" t="inlineStr"/>
      <c r="HKE78" s="278" t="inlineStr"/>
      <c r="HKF78" s="278" t="inlineStr"/>
      <c r="HKG78" s="278" t="inlineStr"/>
      <c r="HKH78" s="278" t="inlineStr"/>
      <c r="HKI78" s="278" t="inlineStr"/>
      <c r="HKJ78" s="278" t="inlineStr"/>
      <c r="HKK78" s="278" t="inlineStr"/>
      <c r="HKL78" s="278" t="inlineStr"/>
      <c r="HKM78" s="278" t="inlineStr"/>
      <c r="HKN78" s="278" t="inlineStr"/>
      <c r="HKO78" s="278" t="inlineStr"/>
      <c r="HKP78" s="278" t="inlineStr"/>
      <c r="HKQ78" s="278" t="inlineStr"/>
      <c r="HKR78" s="278" t="inlineStr"/>
      <c r="HKS78" s="278" t="inlineStr"/>
      <c r="HKT78" s="278" t="inlineStr"/>
      <c r="HKU78" s="278" t="inlineStr"/>
      <c r="HKV78" s="278" t="inlineStr"/>
      <c r="HKW78" s="278" t="inlineStr"/>
      <c r="HKX78" s="278" t="inlineStr"/>
      <c r="HKY78" s="278" t="inlineStr"/>
      <c r="HKZ78" s="278" t="inlineStr"/>
      <c r="HLA78" s="278" t="inlineStr"/>
      <c r="HLB78" s="278" t="inlineStr"/>
      <c r="HLC78" s="278" t="inlineStr"/>
      <c r="HLD78" s="278" t="inlineStr"/>
      <c r="HLE78" s="278" t="inlineStr"/>
      <c r="HLF78" s="278" t="inlineStr"/>
      <c r="HLG78" s="278" t="inlineStr"/>
      <c r="HLH78" s="278" t="inlineStr"/>
      <c r="HLI78" s="278" t="inlineStr"/>
      <c r="HLJ78" s="278" t="inlineStr"/>
      <c r="HLK78" s="278" t="inlineStr"/>
      <c r="HLL78" s="278" t="inlineStr"/>
      <c r="HLM78" s="278" t="inlineStr"/>
      <c r="HLN78" s="278" t="inlineStr"/>
      <c r="HLO78" s="278" t="inlineStr"/>
      <c r="HLP78" s="278" t="inlineStr"/>
      <c r="HLQ78" s="278" t="inlineStr"/>
      <c r="HLR78" s="278" t="inlineStr"/>
      <c r="HLS78" s="278" t="inlineStr"/>
      <c r="HLT78" s="278" t="inlineStr"/>
      <c r="HLU78" s="278" t="inlineStr"/>
      <c r="HLV78" s="278" t="inlineStr"/>
      <c r="HLW78" s="278" t="inlineStr"/>
      <c r="HLX78" s="278" t="inlineStr"/>
      <c r="HLY78" s="278" t="inlineStr"/>
      <c r="HLZ78" s="278" t="inlineStr"/>
      <c r="HMA78" s="278" t="inlineStr"/>
      <c r="HMB78" s="278" t="inlineStr"/>
      <c r="HMC78" s="278" t="inlineStr"/>
      <c r="HMD78" s="278" t="inlineStr"/>
      <c r="HME78" s="278" t="inlineStr"/>
      <c r="HMF78" s="278" t="inlineStr"/>
      <c r="HMG78" s="278" t="inlineStr"/>
      <c r="HMH78" s="278" t="inlineStr"/>
      <c r="HMI78" s="278" t="inlineStr"/>
      <c r="HMJ78" s="278" t="inlineStr"/>
      <c r="HMK78" s="278" t="inlineStr"/>
      <c r="HML78" s="278" t="inlineStr"/>
      <c r="HMM78" s="278" t="inlineStr"/>
      <c r="HMN78" s="278" t="inlineStr"/>
      <c r="HMO78" s="278" t="inlineStr"/>
      <c r="HMP78" s="278" t="inlineStr"/>
      <c r="HMQ78" s="278" t="inlineStr"/>
      <c r="HMR78" s="278" t="inlineStr"/>
      <c r="HMS78" s="278" t="inlineStr"/>
      <c r="HMT78" s="278" t="inlineStr"/>
      <c r="HMU78" s="278" t="inlineStr"/>
      <c r="HMV78" s="278" t="inlineStr"/>
      <c r="HMW78" s="278" t="inlineStr"/>
      <c r="HMX78" s="278" t="inlineStr"/>
      <c r="HMY78" s="278" t="inlineStr"/>
      <c r="HMZ78" s="278" t="inlineStr"/>
      <c r="HNA78" s="278" t="inlineStr"/>
      <c r="HNB78" s="278" t="inlineStr"/>
      <c r="HNC78" s="278" t="inlineStr"/>
      <c r="HND78" s="278" t="inlineStr"/>
      <c r="HNE78" s="278" t="inlineStr"/>
      <c r="HNF78" s="278" t="inlineStr"/>
      <c r="HNG78" s="278" t="inlineStr"/>
      <c r="HNH78" s="278" t="inlineStr"/>
      <c r="HNI78" s="278" t="inlineStr"/>
      <c r="HNJ78" s="278" t="inlineStr"/>
      <c r="HNK78" s="278" t="inlineStr"/>
      <c r="HNL78" s="278" t="inlineStr"/>
      <c r="HNM78" s="278" t="inlineStr"/>
      <c r="HNN78" s="278" t="inlineStr"/>
      <c r="HNO78" s="278" t="inlineStr"/>
      <c r="HNP78" s="278" t="inlineStr"/>
      <c r="HNQ78" s="278" t="inlineStr"/>
      <c r="HNR78" s="278" t="inlineStr"/>
      <c r="HNS78" s="278" t="inlineStr"/>
      <c r="HNT78" s="278" t="inlineStr"/>
      <c r="HNU78" s="278" t="inlineStr"/>
      <c r="HNV78" s="278" t="inlineStr"/>
      <c r="HNW78" s="278" t="inlineStr"/>
      <c r="HNX78" s="278" t="inlineStr"/>
      <c r="HNY78" s="278" t="inlineStr"/>
      <c r="HNZ78" s="278" t="inlineStr"/>
      <c r="HOA78" s="278" t="inlineStr"/>
      <c r="HOB78" s="278" t="inlineStr"/>
      <c r="HOC78" s="278" t="inlineStr"/>
      <c r="HOD78" s="278" t="inlineStr"/>
      <c r="HOE78" s="278" t="inlineStr"/>
      <c r="HOF78" s="278" t="inlineStr"/>
      <c r="HOG78" s="278" t="inlineStr"/>
      <c r="HOH78" s="278" t="inlineStr"/>
      <c r="HOI78" s="278" t="inlineStr"/>
      <c r="HOJ78" s="278" t="inlineStr"/>
      <c r="HOK78" s="278" t="inlineStr"/>
      <c r="HOL78" s="278" t="inlineStr"/>
      <c r="HOM78" s="278" t="inlineStr"/>
      <c r="HON78" s="278" t="inlineStr"/>
      <c r="HOO78" s="278" t="inlineStr"/>
      <c r="HOP78" s="278" t="inlineStr"/>
      <c r="HOQ78" s="278" t="inlineStr"/>
      <c r="HOR78" s="278" t="inlineStr"/>
      <c r="HOS78" s="278" t="inlineStr"/>
      <c r="HOT78" s="278" t="inlineStr"/>
      <c r="HOU78" s="278" t="inlineStr"/>
      <c r="HOV78" s="278" t="inlineStr"/>
      <c r="HOW78" s="278" t="inlineStr"/>
      <c r="HOX78" s="278" t="inlineStr"/>
      <c r="HOY78" s="278" t="inlineStr"/>
      <c r="HOZ78" s="278" t="inlineStr"/>
      <c r="HPA78" s="278" t="inlineStr"/>
      <c r="HPB78" s="278" t="inlineStr"/>
      <c r="HPC78" s="278" t="inlineStr"/>
      <c r="HPD78" s="278" t="inlineStr"/>
      <c r="HPE78" s="278" t="inlineStr"/>
      <c r="HPF78" s="278" t="inlineStr"/>
      <c r="HPG78" s="278" t="inlineStr"/>
      <c r="HPH78" s="278" t="inlineStr"/>
      <c r="HPI78" s="278" t="inlineStr"/>
      <c r="HPJ78" s="278" t="inlineStr"/>
      <c r="HPK78" s="278" t="inlineStr"/>
      <c r="HPL78" s="278" t="inlineStr"/>
      <c r="HPM78" s="278" t="inlineStr"/>
      <c r="HPN78" s="278" t="inlineStr"/>
      <c r="HPO78" s="278" t="inlineStr"/>
      <c r="HPP78" s="278" t="inlineStr"/>
      <c r="HPQ78" s="278" t="inlineStr"/>
      <c r="HPR78" s="278" t="inlineStr"/>
      <c r="HPS78" s="278" t="inlineStr"/>
      <c r="HPT78" s="278" t="inlineStr"/>
      <c r="HPU78" s="278" t="inlineStr"/>
      <c r="HPV78" s="278" t="inlineStr"/>
      <c r="HPW78" s="278" t="inlineStr"/>
      <c r="HPX78" s="278" t="inlineStr"/>
      <c r="HPY78" s="278" t="inlineStr"/>
      <c r="HPZ78" s="278" t="inlineStr"/>
      <c r="HQA78" s="278" t="inlineStr"/>
      <c r="HQB78" s="278" t="inlineStr"/>
      <c r="HQC78" s="278" t="inlineStr"/>
      <c r="HQD78" s="278" t="inlineStr"/>
      <c r="HQE78" s="278" t="inlineStr"/>
      <c r="HQF78" s="278" t="inlineStr"/>
      <c r="HQG78" s="278" t="inlineStr"/>
      <c r="HQH78" s="278" t="inlineStr"/>
      <c r="HQI78" s="278" t="inlineStr"/>
      <c r="HQJ78" s="278" t="inlineStr"/>
      <c r="HQK78" s="278" t="inlineStr"/>
      <c r="HQL78" s="278" t="inlineStr"/>
      <c r="HQM78" s="278" t="inlineStr"/>
      <c r="HQN78" s="278" t="inlineStr"/>
      <c r="HQO78" s="278" t="inlineStr"/>
      <c r="HQP78" s="278" t="inlineStr"/>
      <c r="HQQ78" s="278" t="inlineStr"/>
      <c r="HQR78" s="278" t="inlineStr"/>
      <c r="HQS78" s="278" t="inlineStr"/>
      <c r="HQT78" s="278" t="inlineStr"/>
      <c r="HQU78" s="278" t="inlineStr"/>
      <c r="HQV78" s="278" t="inlineStr"/>
      <c r="HQW78" s="278" t="inlineStr"/>
      <c r="HQX78" s="278" t="inlineStr"/>
      <c r="HQY78" s="278" t="inlineStr"/>
      <c r="HQZ78" s="278" t="inlineStr"/>
      <c r="HRA78" s="278" t="inlineStr"/>
      <c r="HRB78" s="278" t="inlineStr"/>
      <c r="HRC78" s="278" t="inlineStr"/>
      <c r="HRD78" s="278" t="inlineStr"/>
      <c r="HRE78" s="278" t="inlineStr"/>
      <c r="HRF78" s="278" t="inlineStr"/>
      <c r="HRG78" s="278" t="inlineStr"/>
      <c r="HRH78" s="278" t="inlineStr"/>
      <c r="HRI78" s="278" t="inlineStr"/>
      <c r="HRJ78" s="278" t="inlineStr"/>
      <c r="HRK78" s="278" t="inlineStr"/>
      <c r="HRL78" s="278" t="inlineStr"/>
      <c r="HRM78" s="278" t="inlineStr"/>
      <c r="HRN78" s="278" t="inlineStr"/>
      <c r="HRO78" s="278" t="inlineStr"/>
      <c r="HRP78" s="278" t="inlineStr"/>
      <c r="HRQ78" s="278" t="inlineStr"/>
      <c r="HRR78" s="278" t="inlineStr"/>
      <c r="HRS78" s="278" t="inlineStr"/>
      <c r="HRT78" s="278" t="inlineStr"/>
      <c r="HRU78" s="278" t="inlineStr"/>
      <c r="HRV78" s="278" t="inlineStr"/>
      <c r="HRW78" s="278" t="inlineStr"/>
      <c r="HRX78" s="278" t="inlineStr"/>
      <c r="HRY78" s="278" t="inlineStr"/>
      <c r="HRZ78" s="278" t="inlineStr"/>
      <c r="HSA78" s="278" t="inlineStr"/>
      <c r="HSB78" s="278" t="inlineStr"/>
      <c r="HSC78" s="278" t="inlineStr"/>
      <c r="HSD78" s="278" t="inlineStr"/>
      <c r="HSE78" s="278" t="inlineStr"/>
      <c r="HSF78" s="278" t="inlineStr"/>
      <c r="HSG78" s="278" t="inlineStr"/>
      <c r="HSH78" s="278" t="inlineStr"/>
      <c r="HSI78" s="278" t="inlineStr"/>
      <c r="HSJ78" s="278" t="inlineStr"/>
      <c r="HSK78" s="278" t="inlineStr"/>
      <c r="HSL78" s="278" t="inlineStr"/>
      <c r="HSM78" s="278" t="inlineStr"/>
      <c r="HSN78" s="278" t="inlineStr"/>
      <c r="HSO78" s="278" t="inlineStr"/>
      <c r="HSP78" s="278" t="inlineStr"/>
      <c r="HSQ78" s="278" t="inlineStr"/>
      <c r="HSR78" s="278" t="inlineStr"/>
      <c r="HSS78" s="278" t="inlineStr"/>
      <c r="HST78" s="278" t="inlineStr"/>
      <c r="HSU78" s="278" t="inlineStr"/>
      <c r="HSV78" s="278" t="inlineStr"/>
      <c r="HSW78" s="278" t="inlineStr"/>
      <c r="HSX78" s="278" t="inlineStr"/>
      <c r="HSY78" s="278" t="inlineStr"/>
      <c r="HSZ78" s="278" t="inlineStr"/>
      <c r="HTA78" s="278" t="inlineStr"/>
      <c r="HTB78" s="278" t="inlineStr"/>
      <c r="HTC78" s="278" t="inlineStr"/>
      <c r="HTD78" s="278" t="inlineStr"/>
      <c r="HTE78" s="278" t="inlineStr"/>
      <c r="HTF78" s="278" t="inlineStr"/>
      <c r="HTG78" s="278" t="inlineStr"/>
      <c r="HTH78" s="278" t="inlineStr"/>
      <c r="HTI78" s="278" t="inlineStr"/>
      <c r="HTJ78" s="278" t="inlineStr"/>
      <c r="HTK78" s="278" t="inlineStr"/>
      <c r="HTL78" s="278" t="inlineStr"/>
      <c r="HTM78" s="278" t="inlineStr"/>
      <c r="HTN78" s="278" t="inlineStr"/>
      <c r="HTO78" s="278" t="inlineStr"/>
      <c r="HTP78" s="278" t="inlineStr"/>
      <c r="HTQ78" s="278" t="inlineStr"/>
      <c r="HTR78" s="278" t="inlineStr"/>
      <c r="HTS78" s="278" t="inlineStr"/>
      <c r="HTT78" s="278" t="inlineStr"/>
      <c r="HTU78" s="278" t="inlineStr"/>
      <c r="HTV78" s="278" t="inlineStr"/>
      <c r="HTW78" s="278" t="inlineStr"/>
      <c r="HTX78" s="278" t="inlineStr"/>
      <c r="HTY78" s="278" t="inlineStr"/>
      <c r="HTZ78" s="278" t="inlineStr"/>
      <c r="HUA78" s="278" t="inlineStr"/>
      <c r="HUB78" s="278" t="inlineStr"/>
      <c r="HUC78" s="278" t="inlineStr"/>
      <c r="HUD78" s="278" t="inlineStr"/>
      <c r="HUE78" s="278" t="inlineStr"/>
      <c r="HUF78" s="278" t="inlineStr"/>
      <c r="HUG78" s="278" t="inlineStr"/>
      <c r="HUH78" s="278" t="inlineStr"/>
      <c r="HUI78" s="278" t="inlineStr"/>
      <c r="HUJ78" s="278" t="inlineStr"/>
      <c r="HUK78" s="278" t="inlineStr"/>
      <c r="HUL78" s="278" t="inlineStr"/>
      <c r="HUM78" s="278" t="inlineStr"/>
      <c r="HUN78" s="278" t="inlineStr"/>
      <c r="HUO78" s="278" t="inlineStr"/>
      <c r="HUP78" s="278" t="inlineStr"/>
      <c r="HUQ78" s="278" t="inlineStr"/>
      <c r="HUR78" s="278" t="inlineStr"/>
      <c r="HUS78" s="278" t="inlineStr"/>
      <c r="HUT78" s="278" t="inlineStr"/>
      <c r="HUU78" s="278" t="inlineStr"/>
      <c r="HUV78" s="278" t="inlineStr"/>
      <c r="HUW78" s="278" t="inlineStr"/>
      <c r="HUX78" s="278" t="inlineStr"/>
      <c r="HUY78" s="278" t="inlineStr"/>
      <c r="HUZ78" s="278" t="inlineStr"/>
      <c r="HVA78" s="278" t="inlineStr"/>
      <c r="HVB78" s="278" t="inlineStr"/>
      <c r="HVC78" s="278" t="inlineStr"/>
      <c r="HVD78" s="278" t="inlineStr"/>
      <c r="HVE78" s="278" t="inlineStr"/>
      <c r="HVF78" s="278" t="inlineStr"/>
      <c r="HVG78" s="278" t="inlineStr"/>
      <c r="HVH78" s="278" t="inlineStr"/>
      <c r="HVI78" s="278" t="inlineStr"/>
      <c r="HVJ78" s="278" t="inlineStr"/>
      <c r="HVK78" s="278" t="inlineStr"/>
      <c r="HVL78" s="278" t="inlineStr"/>
      <c r="HVM78" s="278" t="inlineStr"/>
      <c r="HVN78" s="278" t="inlineStr"/>
      <c r="HVO78" s="278" t="inlineStr"/>
      <c r="HVP78" s="278" t="inlineStr"/>
      <c r="HVQ78" s="278" t="inlineStr"/>
      <c r="HVR78" s="278" t="inlineStr"/>
      <c r="HVS78" s="278" t="inlineStr"/>
      <c r="HVT78" s="278" t="inlineStr"/>
      <c r="HVU78" s="278" t="inlineStr"/>
      <c r="HVV78" s="278" t="inlineStr"/>
      <c r="HVW78" s="278" t="inlineStr"/>
      <c r="HVX78" s="278" t="inlineStr"/>
      <c r="HVY78" s="278" t="inlineStr"/>
      <c r="HVZ78" s="278" t="inlineStr"/>
      <c r="HWA78" s="278" t="inlineStr"/>
      <c r="HWB78" s="278" t="inlineStr"/>
      <c r="HWC78" s="278" t="inlineStr"/>
      <c r="HWD78" s="278" t="inlineStr"/>
      <c r="HWE78" s="278" t="inlineStr"/>
      <c r="HWF78" s="278" t="inlineStr"/>
      <c r="HWG78" s="278" t="inlineStr"/>
      <c r="HWH78" s="278" t="inlineStr"/>
      <c r="HWI78" s="278" t="inlineStr"/>
      <c r="HWJ78" s="278" t="inlineStr"/>
      <c r="HWK78" s="278" t="inlineStr"/>
      <c r="HWL78" s="278" t="inlineStr"/>
      <c r="HWM78" s="278" t="inlineStr"/>
      <c r="HWN78" s="278" t="inlineStr"/>
      <c r="HWO78" s="278" t="inlineStr"/>
      <c r="HWP78" s="278" t="inlineStr"/>
      <c r="HWQ78" s="278" t="inlineStr"/>
      <c r="HWR78" s="278" t="inlineStr"/>
      <c r="HWS78" s="278" t="inlineStr"/>
      <c r="HWT78" s="278" t="inlineStr"/>
      <c r="HWU78" s="278" t="inlineStr"/>
      <c r="HWV78" s="278" t="inlineStr"/>
      <c r="HWW78" s="278" t="inlineStr"/>
      <c r="HWX78" s="278" t="inlineStr"/>
      <c r="HWY78" s="278" t="inlineStr"/>
      <c r="HWZ78" s="278" t="inlineStr"/>
      <c r="HXA78" s="278" t="inlineStr"/>
      <c r="HXB78" s="278" t="inlineStr"/>
      <c r="HXC78" s="278" t="inlineStr"/>
      <c r="HXD78" s="278" t="inlineStr"/>
      <c r="HXE78" s="278" t="inlineStr"/>
      <c r="HXF78" s="278" t="inlineStr"/>
      <c r="HXG78" s="278" t="inlineStr"/>
      <c r="HXH78" s="278" t="inlineStr"/>
      <c r="HXI78" s="278" t="inlineStr"/>
      <c r="HXJ78" s="278" t="inlineStr"/>
      <c r="HXK78" s="278" t="inlineStr"/>
      <c r="HXL78" s="278" t="inlineStr"/>
      <c r="HXM78" s="278" t="inlineStr"/>
      <c r="HXN78" s="278" t="inlineStr"/>
      <c r="HXO78" s="278" t="inlineStr"/>
      <c r="HXP78" s="278" t="inlineStr"/>
      <c r="HXQ78" s="278" t="inlineStr"/>
      <c r="HXR78" s="278" t="inlineStr"/>
      <c r="HXS78" s="278" t="inlineStr"/>
      <c r="HXT78" s="278" t="inlineStr"/>
      <c r="HXU78" s="278" t="inlineStr"/>
      <c r="HXV78" s="278" t="inlineStr"/>
      <c r="HXW78" s="278" t="inlineStr"/>
      <c r="HXX78" s="278" t="inlineStr"/>
      <c r="HXY78" s="278" t="inlineStr"/>
      <c r="HXZ78" s="278" t="inlineStr"/>
      <c r="HYA78" s="278" t="inlineStr"/>
      <c r="HYB78" s="278" t="inlineStr"/>
      <c r="HYC78" s="278" t="inlineStr"/>
      <c r="HYD78" s="278" t="inlineStr"/>
      <c r="HYE78" s="278" t="inlineStr"/>
      <c r="HYF78" s="278" t="inlineStr"/>
      <c r="HYG78" s="278" t="inlineStr"/>
      <c r="HYH78" s="278" t="inlineStr"/>
      <c r="HYI78" s="278" t="inlineStr"/>
      <c r="HYJ78" s="278" t="inlineStr"/>
      <c r="HYK78" s="278" t="inlineStr"/>
      <c r="HYL78" s="278" t="inlineStr"/>
      <c r="HYM78" s="278" t="inlineStr"/>
      <c r="HYN78" s="278" t="inlineStr"/>
      <c r="HYO78" s="278" t="inlineStr"/>
      <c r="HYP78" s="278" t="inlineStr"/>
      <c r="HYQ78" s="278" t="inlineStr"/>
      <c r="HYR78" s="278" t="inlineStr"/>
      <c r="HYS78" s="278" t="inlineStr"/>
      <c r="HYT78" s="278" t="inlineStr"/>
      <c r="HYU78" s="278" t="inlineStr"/>
      <c r="HYV78" s="278" t="inlineStr"/>
      <c r="HYW78" s="278" t="inlineStr"/>
      <c r="HYX78" s="278" t="inlineStr"/>
      <c r="HYY78" s="278" t="inlineStr"/>
      <c r="HYZ78" s="278" t="inlineStr"/>
      <c r="HZA78" s="278" t="inlineStr"/>
      <c r="HZB78" s="278" t="inlineStr"/>
      <c r="HZC78" s="278" t="inlineStr"/>
      <c r="HZD78" s="278" t="inlineStr"/>
      <c r="HZE78" s="278" t="inlineStr"/>
      <c r="HZF78" s="278" t="inlineStr"/>
      <c r="HZG78" s="278" t="inlineStr"/>
      <c r="HZH78" s="278" t="inlineStr"/>
      <c r="HZI78" s="278" t="inlineStr"/>
      <c r="HZJ78" s="278" t="inlineStr"/>
      <c r="HZK78" s="278" t="inlineStr"/>
      <c r="HZL78" s="278" t="inlineStr"/>
      <c r="HZM78" s="278" t="inlineStr"/>
      <c r="HZN78" s="278" t="inlineStr"/>
      <c r="HZO78" s="278" t="inlineStr"/>
      <c r="HZP78" s="278" t="inlineStr"/>
      <c r="HZQ78" s="278" t="inlineStr"/>
      <c r="HZR78" s="278" t="inlineStr"/>
      <c r="HZS78" s="278" t="inlineStr"/>
      <c r="HZT78" s="278" t="inlineStr"/>
      <c r="HZU78" s="278" t="inlineStr"/>
      <c r="HZV78" s="278" t="inlineStr"/>
      <c r="HZW78" s="278" t="inlineStr"/>
      <c r="HZX78" s="278" t="inlineStr"/>
      <c r="HZY78" s="278" t="inlineStr"/>
      <c r="HZZ78" s="278" t="inlineStr"/>
      <c r="IAA78" s="278" t="inlineStr"/>
      <c r="IAB78" s="278" t="inlineStr"/>
      <c r="IAC78" s="278" t="inlineStr"/>
      <c r="IAD78" s="278" t="inlineStr"/>
      <c r="IAE78" s="278" t="inlineStr"/>
      <c r="IAF78" s="278" t="inlineStr"/>
      <c r="IAG78" s="278" t="inlineStr"/>
      <c r="IAH78" s="278" t="inlineStr"/>
      <c r="IAI78" s="278" t="inlineStr"/>
      <c r="IAJ78" s="278" t="inlineStr"/>
      <c r="IAK78" s="278" t="inlineStr"/>
      <c r="IAL78" s="278" t="inlineStr"/>
      <c r="IAM78" s="278" t="inlineStr"/>
      <c r="IAN78" s="278" t="inlineStr"/>
      <c r="IAO78" s="278" t="inlineStr"/>
      <c r="IAP78" s="278" t="inlineStr"/>
      <c r="IAQ78" s="278" t="inlineStr"/>
      <c r="IAR78" s="278" t="inlineStr"/>
      <c r="IAS78" s="278" t="inlineStr"/>
      <c r="IAT78" s="278" t="inlineStr"/>
      <c r="IAU78" s="278" t="inlineStr"/>
      <c r="IAV78" s="278" t="inlineStr"/>
      <c r="IAW78" s="278" t="inlineStr"/>
      <c r="IAX78" s="278" t="inlineStr"/>
      <c r="IAY78" s="278" t="inlineStr"/>
      <c r="IAZ78" s="278" t="inlineStr"/>
      <c r="IBA78" s="278" t="inlineStr"/>
      <c r="IBB78" s="278" t="inlineStr"/>
      <c r="IBC78" s="278" t="inlineStr"/>
      <c r="IBD78" s="278" t="inlineStr"/>
      <c r="IBE78" s="278" t="inlineStr"/>
      <c r="IBF78" s="278" t="inlineStr"/>
      <c r="IBG78" s="278" t="inlineStr"/>
      <c r="IBH78" s="278" t="inlineStr"/>
      <c r="IBI78" s="278" t="inlineStr"/>
      <c r="IBJ78" s="278" t="inlineStr"/>
      <c r="IBK78" s="278" t="inlineStr"/>
      <c r="IBL78" s="278" t="inlineStr"/>
      <c r="IBM78" s="278" t="inlineStr"/>
      <c r="IBN78" s="278" t="inlineStr"/>
      <c r="IBO78" s="278" t="inlineStr"/>
      <c r="IBP78" s="278" t="inlineStr"/>
      <c r="IBQ78" s="278" t="inlineStr"/>
      <c r="IBR78" s="278" t="inlineStr"/>
      <c r="IBS78" s="278" t="inlineStr"/>
      <c r="IBT78" s="278" t="inlineStr"/>
      <c r="IBU78" s="278" t="inlineStr"/>
      <c r="IBV78" s="278" t="inlineStr"/>
      <c r="IBW78" s="278" t="inlineStr"/>
      <c r="IBX78" s="278" t="inlineStr"/>
      <c r="IBY78" s="278" t="inlineStr"/>
      <c r="IBZ78" s="278" t="inlineStr"/>
      <c r="ICA78" s="278" t="inlineStr"/>
      <c r="ICB78" s="278" t="inlineStr"/>
      <c r="ICC78" s="278" t="inlineStr"/>
      <c r="ICD78" s="278" t="inlineStr"/>
      <c r="ICE78" s="278" t="inlineStr"/>
      <c r="ICF78" s="278" t="inlineStr"/>
      <c r="ICG78" s="278" t="inlineStr"/>
      <c r="ICH78" s="278" t="inlineStr"/>
      <c r="ICI78" s="278" t="inlineStr"/>
      <c r="ICJ78" s="278" t="inlineStr"/>
      <c r="ICK78" s="278" t="inlineStr"/>
      <c r="ICL78" s="278" t="inlineStr"/>
      <c r="ICM78" s="278" t="inlineStr"/>
      <c r="ICN78" s="278" t="inlineStr"/>
      <c r="ICO78" s="278" t="inlineStr"/>
      <c r="ICP78" s="278" t="inlineStr"/>
      <c r="ICQ78" s="278" t="inlineStr"/>
      <c r="ICR78" s="278" t="inlineStr"/>
      <c r="ICS78" s="278" t="inlineStr"/>
      <c r="ICT78" s="278" t="inlineStr"/>
      <c r="ICU78" s="278" t="inlineStr"/>
      <c r="ICV78" s="278" t="inlineStr"/>
      <c r="ICW78" s="278" t="inlineStr"/>
      <c r="ICX78" s="278" t="inlineStr"/>
      <c r="ICY78" s="278" t="inlineStr"/>
      <c r="ICZ78" s="278" t="inlineStr"/>
      <c r="IDA78" s="278" t="inlineStr"/>
      <c r="IDB78" s="278" t="inlineStr"/>
      <c r="IDC78" s="278" t="inlineStr"/>
      <c r="IDD78" s="278" t="inlineStr"/>
      <c r="IDE78" s="278" t="inlineStr"/>
      <c r="IDF78" s="278" t="inlineStr"/>
      <c r="IDG78" s="278" t="inlineStr"/>
      <c r="IDH78" s="278" t="inlineStr"/>
      <c r="IDI78" s="278" t="inlineStr"/>
      <c r="IDJ78" s="278" t="inlineStr"/>
      <c r="IDK78" s="278" t="inlineStr"/>
      <c r="IDL78" s="278" t="inlineStr"/>
      <c r="IDM78" s="278" t="inlineStr"/>
      <c r="IDN78" s="278" t="inlineStr"/>
      <c r="IDO78" s="278" t="inlineStr"/>
      <c r="IDP78" s="278" t="inlineStr"/>
      <c r="IDQ78" s="278" t="inlineStr"/>
      <c r="IDR78" s="278" t="inlineStr"/>
      <c r="IDS78" s="278" t="inlineStr"/>
      <c r="IDT78" s="278" t="inlineStr"/>
      <c r="IDU78" s="278" t="inlineStr"/>
      <c r="IDV78" s="278" t="inlineStr"/>
      <c r="IDW78" s="278" t="inlineStr"/>
      <c r="IDX78" s="278" t="inlineStr"/>
      <c r="IDY78" s="278" t="inlineStr"/>
      <c r="IDZ78" s="278" t="inlineStr"/>
      <c r="IEA78" s="278" t="inlineStr"/>
      <c r="IEB78" s="278" t="inlineStr"/>
      <c r="IEC78" s="278" t="inlineStr"/>
      <c r="IED78" s="278" t="inlineStr"/>
      <c r="IEE78" s="278" t="inlineStr"/>
      <c r="IEF78" s="278" t="inlineStr"/>
      <c r="IEG78" s="278" t="inlineStr"/>
      <c r="IEH78" s="278" t="inlineStr"/>
      <c r="IEI78" s="278" t="inlineStr"/>
      <c r="IEJ78" s="278" t="inlineStr"/>
      <c r="IEK78" s="278" t="inlineStr"/>
      <c r="IEL78" s="278" t="inlineStr"/>
      <c r="IEM78" s="278" t="inlineStr"/>
      <c r="IEN78" s="278" t="inlineStr"/>
      <c r="IEO78" s="278" t="inlineStr"/>
      <c r="IEP78" s="278" t="inlineStr"/>
      <c r="IEQ78" s="278" t="inlineStr"/>
      <c r="IER78" s="278" t="inlineStr"/>
      <c r="IES78" s="278" t="inlineStr"/>
      <c r="IET78" s="278" t="inlineStr"/>
      <c r="IEU78" s="278" t="inlineStr"/>
      <c r="IEV78" s="278" t="inlineStr"/>
      <c r="IEW78" s="278" t="inlineStr"/>
      <c r="IEX78" s="278" t="inlineStr"/>
      <c r="IEY78" s="278" t="inlineStr"/>
      <c r="IEZ78" s="278" t="inlineStr"/>
      <c r="IFA78" s="278" t="inlineStr"/>
      <c r="IFB78" s="278" t="inlineStr"/>
      <c r="IFC78" s="278" t="inlineStr"/>
      <c r="IFD78" s="278" t="inlineStr"/>
      <c r="IFE78" s="278" t="inlineStr"/>
      <c r="IFF78" s="278" t="inlineStr"/>
      <c r="IFG78" s="278" t="inlineStr"/>
      <c r="IFH78" s="278" t="inlineStr"/>
      <c r="IFI78" s="278" t="inlineStr"/>
      <c r="IFJ78" s="278" t="inlineStr"/>
      <c r="IFK78" s="278" t="inlineStr"/>
      <c r="IFL78" s="278" t="inlineStr"/>
      <c r="IFM78" s="278" t="inlineStr"/>
      <c r="IFN78" s="278" t="inlineStr"/>
      <c r="IFO78" s="278" t="inlineStr"/>
      <c r="IFP78" s="278" t="inlineStr"/>
      <c r="IFQ78" s="278" t="inlineStr"/>
      <c r="IFR78" s="278" t="inlineStr"/>
      <c r="IFS78" s="278" t="inlineStr"/>
      <c r="IFT78" s="278" t="inlineStr"/>
      <c r="IFU78" s="278" t="inlineStr"/>
      <c r="IFV78" s="278" t="inlineStr"/>
      <c r="IFW78" s="278" t="inlineStr"/>
      <c r="IFX78" s="278" t="inlineStr"/>
      <c r="IFY78" s="278" t="inlineStr"/>
      <c r="IFZ78" s="278" t="inlineStr"/>
      <c r="IGA78" s="278" t="inlineStr"/>
      <c r="IGB78" s="278" t="inlineStr"/>
      <c r="IGC78" s="278" t="inlineStr"/>
      <c r="IGD78" s="278" t="inlineStr"/>
      <c r="IGE78" s="278" t="inlineStr"/>
      <c r="IGF78" s="278" t="inlineStr"/>
      <c r="IGG78" s="278" t="inlineStr"/>
      <c r="IGH78" s="278" t="inlineStr"/>
      <c r="IGI78" s="278" t="inlineStr"/>
      <c r="IGJ78" s="278" t="inlineStr"/>
      <c r="IGK78" s="278" t="inlineStr"/>
      <c r="IGL78" s="278" t="inlineStr"/>
      <c r="IGM78" s="278" t="inlineStr"/>
      <c r="IGN78" s="278" t="inlineStr"/>
      <c r="IGO78" s="278" t="inlineStr"/>
      <c r="IGP78" s="278" t="inlineStr"/>
      <c r="IGQ78" s="278" t="inlineStr"/>
      <c r="IGR78" s="278" t="inlineStr"/>
      <c r="IGS78" s="278" t="inlineStr"/>
      <c r="IGT78" s="278" t="inlineStr"/>
      <c r="IGU78" s="278" t="inlineStr"/>
      <c r="IGV78" s="278" t="inlineStr"/>
      <c r="IGW78" s="278" t="inlineStr"/>
      <c r="IGX78" s="278" t="inlineStr"/>
      <c r="IGY78" s="278" t="inlineStr"/>
      <c r="IGZ78" s="278" t="inlineStr"/>
      <c r="IHA78" s="278" t="inlineStr"/>
      <c r="IHB78" s="278" t="inlineStr"/>
      <c r="IHC78" s="278" t="inlineStr"/>
      <c r="IHD78" s="278" t="inlineStr"/>
      <c r="IHE78" s="278" t="inlineStr"/>
      <c r="IHF78" s="278" t="inlineStr"/>
      <c r="IHG78" s="278" t="inlineStr"/>
      <c r="IHH78" s="278" t="inlineStr"/>
      <c r="IHI78" s="278" t="inlineStr"/>
      <c r="IHJ78" s="278" t="inlineStr"/>
      <c r="IHK78" s="278" t="inlineStr"/>
      <c r="IHL78" s="278" t="inlineStr"/>
      <c r="IHM78" s="278" t="inlineStr"/>
      <c r="IHN78" s="278" t="inlineStr"/>
      <c r="IHO78" s="278" t="inlineStr"/>
      <c r="IHP78" s="278" t="inlineStr"/>
      <c r="IHQ78" s="278" t="inlineStr"/>
      <c r="IHR78" s="278" t="inlineStr"/>
      <c r="IHS78" s="278" t="inlineStr"/>
      <c r="IHT78" s="278" t="inlineStr"/>
      <c r="IHU78" s="278" t="inlineStr"/>
      <c r="IHV78" s="278" t="inlineStr"/>
      <c r="IHW78" s="278" t="inlineStr"/>
      <c r="IHX78" s="278" t="inlineStr"/>
      <c r="IHY78" s="278" t="inlineStr"/>
      <c r="IHZ78" s="278" t="inlineStr"/>
      <c r="IIA78" s="278" t="inlineStr"/>
      <c r="IIB78" s="278" t="inlineStr"/>
      <c r="IIC78" s="278" t="inlineStr"/>
      <c r="IID78" s="278" t="inlineStr"/>
      <c r="IIE78" s="278" t="inlineStr"/>
      <c r="IIF78" s="278" t="inlineStr"/>
      <c r="IIG78" s="278" t="inlineStr"/>
      <c r="IIH78" s="278" t="inlineStr"/>
      <c r="III78" s="278" t="inlineStr"/>
      <c r="IIJ78" s="278" t="inlineStr"/>
      <c r="IIK78" s="278" t="inlineStr"/>
      <c r="IIL78" s="278" t="inlineStr"/>
      <c r="IIM78" s="278" t="inlineStr"/>
      <c r="IIN78" s="278" t="inlineStr"/>
      <c r="IIO78" s="278" t="inlineStr"/>
      <c r="IIP78" s="278" t="inlineStr"/>
      <c r="IIQ78" s="278" t="inlineStr"/>
      <c r="IIR78" s="278" t="inlineStr"/>
      <c r="IIS78" s="278" t="inlineStr"/>
      <c r="IIT78" s="278" t="inlineStr"/>
      <c r="IIU78" s="278" t="inlineStr"/>
      <c r="IIV78" s="278" t="inlineStr"/>
      <c r="IIW78" s="278" t="inlineStr"/>
      <c r="IIX78" s="278" t="inlineStr"/>
      <c r="IIY78" s="278" t="inlineStr"/>
      <c r="IIZ78" s="278" t="inlineStr"/>
      <c r="IJA78" s="278" t="inlineStr"/>
      <c r="IJB78" s="278" t="inlineStr"/>
      <c r="IJC78" s="278" t="inlineStr"/>
      <c r="IJD78" s="278" t="inlineStr"/>
      <c r="IJE78" s="278" t="inlineStr"/>
      <c r="IJF78" s="278" t="inlineStr"/>
      <c r="IJG78" s="278" t="inlineStr"/>
      <c r="IJH78" s="278" t="inlineStr"/>
      <c r="IJI78" s="278" t="inlineStr"/>
      <c r="IJJ78" s="278" t="inlineStr"/>
      <c r="IJK78" s="278" t="inlineStr"/>
      <c r="IJL78" s="278" t="inlineStr"/>
      <c r="IJM78" s="278" t="inlineStr"/>
      <c r="IJN78" s="278" t="inlineStr"/>
      <c r="IJO78" s="278" t="inlineStr"/>
      <c r="IJP78" s="278" t="inlineStr"/>
      <c r="IJQ78" s="278" t="inlineStr"/>
      <c r="IJR78" s="278" t="inlineStr"/>
      <c r="IJS78" s="278" t="inlineStr"/>
      <c r="IJT78" s="278" t="inlineStr"/>
      <c r="IJU78" s="278" t="inlineStr"/>
      <c r="IJV78" s="278" t="inlineStr"/>
      <c r="IJW78" s="278" t="inlineStr"/>
      <c r="IJX78" s="278" t="inlineStr"/>
      <c r="IJY78" s="278" t="inlineStr"/>
      <c r="IJZ78" s="278" t="inlineStr"/>
      <c r="IKA78" s="278" t="inlineStr"/>
      <c r="IKB78" s="278" t="inlineStr"/>
      <c r="IKC78" s="278" t="inlineStr"/>
      <c r="IKD78" s="278" t="inlineStr"/>
      <c r="IKE78" s="278" t="inlineStr"/>
      <c r="IKF78" s="278" t="inlineStr"/>
      <c r="IKG78" s="278" t="inlineStr"/>
      <c r="IKH78" s="278" t="inlineStr"/>
      <c r="IKI78" s="278" t="inlineStr"/>
      <c r="IKJ78" s="278" t="inlineStr"/>
      <c r="IKK78" s="278" t="inlineStr"/>
      <c r="IKL78" s="278" t="inlineStr"/>
      <c r="IKM78" s="278" t="inlineStr"/>
      <c r="IKN78" s="278" t="inlineStr"/>
      <c r="IKO78" s="278" t="inlineStr"/>
      <c r="IKP78" s="278" t="inlineStr"/>
      <c r="IKQ78" s="278" t="inlineStr"/>
      <c r="IKR78" s="278" t="inlineStr"/>
      <c r="IKS78" s="278" t="inlineStr"/>
      <c r="IKT78" s="278" t="inlineStr"/>
      <c r="IKU78" s="278" t="inlineStr"/>
      <c r="IKV78" s="278" t="inlineStr"/>
      <c r="IKW78" s="278" t="inlineStr"/>
      <c r="IKX78" s="278" t="inlineStr"/>
      <c r="IKY78" s="278" t="inlineStr"/>
      <c r="IKZ78" s="278" t="inlineStr"/>
      <c r="ILA78" s="278" t="inlineStr"/>
      <c r="ILB78" s="278" t="inlineStr"/>
      <c r="ILC78" s="278" t="inlineStr"/>
      <c r="ILD78" s="278" t="inlineStr"/>
      <c r="ILE78" s="278" t="inlineStr"/>
      <c r="ILF78" s="278" t="inlineStr"/>
      <c r="ILG78" s="278" t="inlineStr"/>
      <c r="ILH78" s="278" t="inlineStr"/>
      <c r="ILI78" s="278" t="inlineStr"/>
      <c r="ILJ78" s="278" t="inlineStr"/>
      <c r="ILK78" s="278" t="inlineStr"/>
      <c r="ILL78" s="278" t="inlineStr"/>
      <c r="ILM78" s="278" t="inlineStr"/>
      <c r="ILN78" s="278" t="inlineStr"/>
      <c r="ILO78" s="278" t="inlineStr"/>
      <c r="ILP78" s="278" t="inlineStr"/>
      <c r="ILQ78" s="278" t="inlineStr"/>
      <c r="ILR78" s="278" t="inlineStr"/>
      <c r="ILS78" s="278" t="inlineStr"/>
      <c r="ILT78" s="278" t="inlineStr"/>
      <c r="ILU78" s="278" t="inlineStr"/>
      <c r="ILV78" s="278" t="inlineStr"/>
      <c r="ILW78" s="278" t="inlineStr"/>
      <c r="ILX78" s="278" t="inlineStr"/>
      <c r="ILY78" s="278" t="inlineStr"/>
      <c r="ILZ78" s="278" t="inlineStr"/>
      <c r="IMA78" s="278" t="inlineStr"/>
      <c r="IMB78" s="278" t="inlineStr"/>
      <c r="IMC78" s="278" t="inlineStr"/>
      <c r="IMD78" s="278" t="inlineStr"/>
      <c r="IME78" s="278" t="inlineStr"/>
      <c r="IMF78" s="278" t="inlineStr"/>
      <c r="IMG78" s="278" t="inlineStr"/>
      <c r="IMH78" s="278" t="inlineStr"/>
      <c r="IMI78" s="278" t="inlineStr"/>
      <c r="IMJ78" s="278" t="inlineStr"/>
      <c r="IMK78" s="278" t="inlineStr"/>
      <c r="IML78" s="278" t="inlineStr"/>
      <c r="IMM78" s="278" t="inlineStr"/>
      <c r="IMN78" s="278" t="inlineStr"/>
      <c r="IMO78" s="278" t="inlineStr"/>
      <c r="IMP78" s="278" t="inlineStr"/>
      <c r="IMQ78" s="278" t="inlineStr"/>
      <c r="IMR78" s="278" t="inlineStr"/>
      <c r="IMS78" s="278" t="inlineStr"/>
      <c r="IMT78" s="278" t="inlineStr"/>
      <c r="IMU78" s="278" t="inlineStr"/>
      <c r="IMV78" s="278" t="inlineStr"/>
      <c r="IMW78" s="278" t="inlineStr"/>
      <c r="IMX78" s="278" t="inlineStr"/>
      <c r="IMY78" s="278" t="inlineStr"/>
      <c r="IMZ78" s="278" t="inlineStr"/>
      <c r="INA78" s="278" t="inlineStr"/>
      <c r="INB78" s="278" t="inlineStr"/>
      <c r="INC78" s="278" t="inlineStr"/>
      <c r="IND78" s="278" t="inlineStr"/>
      <c r="INE78" s="278" t="inlineStr"/>
      <c r="INF78" s="278" t="inlineStr"/>
      <c r="ING78" s="278" t="inlineStr"/>
      <c r="INH78" s="278" t="inlineStr"/>
      <c r="INI78" s="278" t="inlineStr"/>
      <c r="INJ78" s="278" t="inlineStr"/>
      <c r="INK78" s="278" t="inlineStr"/>
      <c r="INL78" s="278" t="inlineStr"/>
      <c r="INM78" s="278" t="inlineStr"/>
      <c r="INN78" s="278" t="inlineStr"/>
      <c r="INO78" s="278" t="inlineStr"/>
      <c r="INP78" s="278" t="inlineStr"/>
      <c r="INQ78" s="278" t="inlineStr"/>
      <c r="INR78" s="278" t="inlineStr"/>
      <c r="INS78" s="278" t="inlineStr"/>
      <c r="INT78" s="278" t="inlineStr"/>
      <c r="INU78" s="278" t="inlineStr"/>
      <c r="INV78" s="278" t="inlineStr"/>
      <c r="INW78" s="278" t="inlineStr"/>
      <c r="INX78" s="278" t="inlineStr"/>
      <c r="INY78" s="278" t="inlineStr"/>
      <c r="INZ78" s="278" t="inlineStr"/>
      <c r="IOA78" s="278" t="inlineStr"/>
      <c r="IOB78" s="278" t="inlineStr"/>
      <c r="IOC78" s="278" t="inlineStr"/>
      <c r="IOD78" s="278" t="inlineStr"/>
      <c r="IOE78" s="278" t="inlineStr"/>
      <c r="IOF78" s="278" t="inlineStr"/>
      <c r="IOG78" s="278" t="inlineStr"/>
      <c r="IOH78" s="278" t="inlineStr"/>
      <c r="IOI78" s="278" t="inlineStr"/>
      <c r="IOJ78" s="278" t="inlineStr"/>
      <c r="IOK78" s="278" t="inlineStr"/>
      <c r="IOL78" s="278" t="inlineStr"/>
      <c r="IOM78" s="278" t="inlineStr"/>
      <c r="ION78" s="278" t="inlineStr"/>
      <c r="IOO78" s="278" t="inlineStr"/>
      <c r="IOP78" s="278" t="inlineStr"/>
      <c r="IOQ78" s="278" t="inlineStr"/>
      <c r="IOR78" s="278" t="inlineStr"/>
      <c r="IOS78" s="278" t="inlineStr"/>
      <c r="IOT78" s="278" t="inlineStr"/>
      <c r="IOU78" s="278" t="inlineStr"/>
      <c r="IOV78" s="278" t="inlineStr"/>
      <c r="IOW78" s="278" t="inlineStr"/>
      <c r="IOX78" s="278" t="inlineStr"/>
      <c r="IOY78" s="278" t="inlineStr"/>
      <c r="IOZ78" s="278" t="inlineStr"/>
      <c r="IPA78" s="278" t="inlineStr"/>
      <c r="IPB78" s="278" t="inlineStr"/>
      <c r="IPC78" s="278" t="inlineStr"/>
      <c r="IPD78" s="278" t="inlineStr"/>
      <c r="IPE78" s="278" t="inlineStr"/>
      <c r="IPF78" s="278" t="inlineStr"/>
      <c r="IPG78" s="278" t="inlineStr"/>
      <c r="IPH78" s="278" t="inlineStr"/>
      <c r="IPI78" s="278" t="inlineStr"/>
      <c r="IPJ78" s="278" t="inlineStr"/>
      <c r="IPK78" s="278" t="inlineStr"/>
      <c r="IPL78" s="278" t="inlineStr"/>
      <c r="IPM78" s="278" t="inlineStr"/>
      <c r="IPN78" s="278" t="inlineStr"/>
      <c r="IPO78" s="278" t="inlineStr"/>
      <c r="IPP78" s="278" t="inlineStr"/>
      <c r="IPQ78" s="278" t="inlineStr"/>
      <c r="IPR78" s="278" t="inlineStr"/>
      <c r="IPS78" s="278" t="inlineStr"/>
      <c r="IPT78" s="278" t="inlineStr"/>
      <c r="IPU78" s="278" t="inlineStr"/>
      <c r="IPV78" s="278" t="inlineStr"/>
      <c r="IPW78" s="278" t="inlineStr"/>
      <c r="IPX78" s="278" t="inlineStr"/>
      <c r="IPY78" s="278" t="inlineStr"/>
      <c r="IPZ78" s="278" t="inlineStr"/>
      <c r="IQA78" s="278" t="inlineStr"/>
      <c r="IQB78" s="278" t="inlineStr"/>
      <c r="IQC78" s="278" t="inlineStr"/>
      <c r="IQD78" s="278" t="inlineStr"/>
      <c r="IQE78" s="278" t="inlineStr"/>
      <c r="IQF78" s="278" t="inlineStr"/>
      <c r="IQG78" s="278" t="inlineStr"/>
      <c r="IQH78" s="278" t="inlineStr"/>
      <c r="IQI78" s="278" t="inlineStr"/>
      <c r="IQJ78" s="278" t="inlineStr"/>
      <c r="IQK78" s="278" t="inlineStr"/>
      <c r="IQL78" s="278" t="inlineStr"/>
      <c r="IQM78" s="278" t="inlineStr"/>
      <c r="IQN78" s="278" t="inlineStr"/>
      <c r="IQO78" s="278" t="inlineStr"/>
      <c r="IQP78" s="278" t="inlineStr"/>
      <c r="IQQ78" s="278" t="inlineStr"/>
      <c r="IQR78" s="278" t="inlineStr"/>
      <c r="IQS78" s="278" t="inlineStr"/>
      <c r="IQT78" s="278" t="inlineStr"/>
      <c r="IQU78" s="278" t="inlineStr"/>
      <c r="IQV78" s="278" t="inlineStr"/>
      <c r="IQW78" s="278" t="inlineStr"/>
      <c r="IQX78" s="278" t="inlineStr"/>
      <c r="IQY78" s="278" t="inlineStr"/>
      <c r="IQZ78" s="278" t="inlineStr"/>
      <c r="IRA78" s="278" t="inlineStr"/>
      <c r="IRB78" s="278" t="inlineStr"/>
      <c r="IRC78" s="278" t="inlineStr"/>
      <c r="IRD78" s="278" t="inlineStr"/>
      <c r="IRE78" s="278" t="inlineStr"/>
      <c r="IRF78" s="278" t="inlineStr"/>
      <c r="IRG78" s="278" t="inlineStr"/>
      <c r="IRH78" s="278" t="inlineStr"/>
      <c r="IRI78" s="278" t="inlineStr"/>
      <c r="IRJ78" s="278" t="inlineStr"/>
      <c r="IRK78" s="278" t="inlineStr"/>
      <c r="IRL78" s="278" t="inlineStr"/>
      <c r="IRM78" s="278" t="inlineStr"/>
      <c r="IRN78" s="278" t="inlineStr"/>
      <c r="IRO78" s="278" t="inlineStr"/>
      <c r="IRP78" s="278" t="inlineStr"/>
      <c r="IRQ78" s="278" t="inlineStr"/>
      <c r="IRR78" s="278" t="inlineStr"/>
      <c r="IRS78" s="278" t="inlineStr"/>
      <c r="IRT78" s="278" t="inlineStr"/>
      <c r="IRU78" s="278" t="inlineStr"/>
      <c r="IRV78" s="278" t="inlineStr"/>
      <c r="IRW78" s="278" t="inlineStr"/>
      <c r="IRX78" s="278" t="inlineStr"/>
      <c r="IRY78" s="278" t="inlineStr"/>
      <c r="IRZ78" s="278" t="inlineStr"/>
      <c r="ISA78" s="278" t="inlineStr"/>
      <c r="ISB78" s="278" t="inlineStr"/>
      <c r="ISC78" s="278" t="inlineStr"/>
      <c r="ISD78" s="278" t="inlineStr"/>
      <c r="ISE78" s="278" t="inlineStr"/>
      <c r="ISF78" s="278" t="inlineStr"/>
      <c r="ISG78" s="278" t="inlineStr"/>
      <c r="ISH78" s="278" t="inlineStr"/>
      <c r="ISI78" s="278" t="inlineStr"/>
      <c r="ISJ78" s="278" t="inlineStr"/>
      <c r="ISK78" s="278" t="inlineStr"/>
      <c r="ISL78" s="278" t="inlineStr"/>
      <c r="ISM78" s="278" t="inlineStr"/>
      <c r="ISN78" s="278" t="inlineStr"/>
      <c r="ISO78" s="278" t="inlineStr"/>
      <c r="ISP78" s="278" t="inlineStr"/>
      <c r="ISQ78" s="278" t="inlineStr"/>
      <c r="ISR78" s="278" t="inlineStr"/>
      <c r="ISS78" s="278" t="inlineStr"/>
      <c r="IST78" s="278" t="inlineStr"/>
      <c r="ISU78" s="278" t="inlineStr"/>
      <c r="ISV78" s="278" t="inlineStr"/>
      <c r="ISW78" s="278" t="inlineStr"/>
      <c r="ISX78" s="278" t="inlineStr"/>
      <c r="ISY78" s="278" t="inlineStr"/>
      <c r="ISZ78" s="278" t="inlineStr"/>
      <c r="ITA78" s="278" t="inlineStr"/>
      <c r="ITB78" s="278" t="inlineStr"/>
      <c r="ITC78" s="278" t="inlineStr"/>
      <c r="ITD78" s="278" t="inlineStr"/>
      <c r="ITE78" s="278" t="inlineStr"/>
      <c r="ITF78" s="278" t="inlineStr"/>
      <c r="ITG78" s="278" t="inlineStr"/>
      <c r="ITH78" s="278" t="inlineStr"/>
      <c r="ITI78" s="278" t="inlineStr"/>
      <c r="ITJ78" s="278" t="inlineStr"/>
      <c r="ITK78" s="278" t="inlineStr"/>
      <c r="ITL78" s="278" t="inlineStr"/>
      <c r="ITM78" s="278" t="inlineStr"/>
      <c r="ITN78" s="278" t="inlineStr"/>
      <c r="ITO78" s="278" t="inlineStr"/>
      <c r="ITP78" s="278" t="inlineStr"/>
      <c r="ITQ78" s="278" t="inlineStr"/>
      <c r="ITR78" s="278" t="inlineStr"/>
      <c r="ITS78" s="278" t="inlineStr"/>
      <c r="ITT78" s="278" t="inlineStr"/>
      <c r="ITU78" s="278" t="inlineStr"/>
      <c r="ITV78" s="278" t="inlineStr"/>
      <c r="ITW78" s="278" t="inlineStr"/>
      <c r="ITX78" s="278" t="inlineStr"/>
      <c r="ITY78" s="278" t="inlineStr"/>
      <c r="ITZ78" s="278" t="inlineStr"/>
      <c r="IUA78" s="278" t="inlineStr"/>
      <c r="IUB78" s="278" t="inlineStr"/>
      <c r="IUC78" s="278" t="inlineStr"/>
      <c r="IUD78" s="278" t="inlineStr"/>
      <c r="IUE78" s="278" t="inlineStr"/>
      <c r="IUF78" s="278" t="inlineStr"/>
      <c r="IUG78" s="278" t="inlineStr"/>
      <c r="IUH78" s="278" t="inlineStr"/>
      <c r="IUI78" s="278" t="inlineStr"/>
      <c r="IUJ78" s="278" t="inlineStr"/>
      <c r="IUK78" s="278" t="inlineStr"/>
      <c r="IUL78" s="278" t="inlineStr"/>
      <c r="IUM78" s="278" t="inlineStr"/>
      <c r="IUN78" s="278" t="inlineStr"/>
      <c r="IUO78" s="278" t="inlineStr"/>
      <c r="IUP78" s="278" t="inlineStr"/>
      <c r="IUQ78" s="278" t="inlineStr"/>
      <c r="IUR78" s="278" t="inlineStr"/>
      <c r="IUS78" s="278" t="inlineStr"/>
      <c r="IUT78" s="278" t="inlineStr"/>
      <c r="IUU78" s="278" t="inlineStr"/>
      <c r="IUV78" s="278" t="inlineStr"/>
      <c r="IUW78" s="278" t="inlineStr"/>
      <c r="IUX78" s="278" t="inlineStr"/>
      <c r="IUY78" s="278" t="inlineStr"/>
      <c r="IUZ78" s="278" t="inlineStr"/>
      <c r="IVA78" s="278" t="inlineStr"/>
      <c r="IVB78" s="278" t="inlineStr"/>
      <c r="IVC78" s="278" t="inlineStr"/>
      <c r="IVD78" s="278" t="inlineStr"/>
      <c r="IVE78" s="278" t="inlineStr"/>
      <c r="IVF78" s="278" t="inlineStr"/>
      <c r="IVG78" s="278" t="inlineStr"/>
      <c r="IVH78" s="278" t="inlineStr"/>
      <c r="IVI78" s="278" t="inlineStr"/>
      <c r="IVJ78" s="278" t="inlineStr"/>
      <c r="IVK78" s="278" t="inlineStr"/>
      <c r="IVL78" s="278" t="inlineStr"/>
      <c r="IVM78" s="278" t="inlineStr"/>
      <c r="IVN78" s="278" t="inlineStr"/>
      <c r="IVO78" s="278" t="inlineStr"/>
      <c r="IVP78" s="278" t="inlineStr"/>
      <c r="IVQ78" s="278" t="inlineStr"/>
      <c r="IVR78" s="278" t="inlineStr"/>
      <c r="IVS78" s="278" t="inlineStr"/>
      <c r="IVT78" s="278" t="inlineStr"/>
      <c r="IVU78" s="278" t="inlineStr"/>
      <c r="IVV78" s="278" t="inlineStr"/>
      <c r="IVW78" s="278" t="inlineStr"/>
      <c r="IVX78" s="278" t="inlineStr"/>
      <c r="IVY78" s="278" t="inlineStr"/>
      <c r="IVZ78" s="278" t="inlineStr"/>
      <c r="IWA78" s="278" t="inlineStr"/>
      <c r="IWB78" s="278" t="inlineStr"/>
      <c r="IWC78" s="278" t="inlineStr"/>
      <c r="IWD78" s="278" t="inlineStr"/>
      <c r="IWE78" s="278" t="inlineStr"/>
      <c r="IWF78" s="278" t="inlineStr"/>
      <c r="IWG78" s="278" t="inlineStr"/>
      <c r="IWH78" s="278" t="inlineStr"/>
      <c r="IWI78" s="278" t="inlineStr"/>
      <c r="IWJ78" s="278" t="inlineStr"/>
      <c r="IWK78" s="278" t="inlineStr"/>
      <c r="IWL78" s="278" t="inlineStr"/>
      <c r="IWM78" s="278" t="inlineStr"/>
      <c r="IWN78" s="278" t="inlineStr"/>
      <c r="IWO78" s="278" t="inlineStr"/>
      <c r="IWP78" s="278" t="inlineStr"/>
      <c r="IWQ78" s="278" t="inlineStr"/>
      <c r="IWR78" s="278" t="inlineStr"/>
      <c r="IWS78" s="278" t="inlineStr"/>
      <c r="IWT78" s="278" t="inlineStr"/>
      <c r="IWU78" s="278" t="inlineStr"/>
      <c r="IWV78" s="278" t="inlineStr"/>
      <c r="IWW78" s="278" t="inlineStr"/>
      <c r="IWX78" s="278" t="inlineStr"/>
      <c r="IWY78" s="278" t="inlineStr"/>
      <c r="IWZ78" s="278" t="inlineStr"/>
      <c r="IXA78" s="278" t="inlineStr"/>
      <c r="IXB78" s="278" t="inlineStr"/>
      <c r="IXC78" s="278" t="inlineStr"/>
      <c r="IXD78" s="278" t="inlineStr"/>
      <c r="IXE78" s="278" t="inlineStr"/>
      <c r="IXF78" s="278" t="inlineStr"/>
      <c r="IXG78" s="278" t="inlineStr"/>
      <c r="IXH78" s="278" t="inlineStr"/>
      <c r="IXI78" s="278" t="inlineStr"/>
      <c r="IXJ78" s="278" t="inlineStr"/>
      <c r="IXK78" s="278" t="inlineStr"/>
      <c r="IXL78" s="278" t="inlineStr"/>
      <c r="IXM78" s="278" t="inlineStr"/>
      <c r="IXN78" s="278" t="inlineStr"/>
      <c r="IXO78" s="278" t="inlineStr"/>
      <c r="IXP78" s="278" t="inlineStr"/>
      <c r="IXQ78" s="278" t="inlineStr"/>
      <c r="IXR78" s="278" t="inlineStr"/>
      <c r="IXS78" s="278" t="inlineStr"/>
      <c r="IXT78" s="278" t="inlineStr"/>
      <c r="IXU78" s="278" t="inlineStr"/>
      <c r="IXV78" s="278" t="inlineStr"/>
      <c r="IXW78" s="278" t="inlineStr"/>
      <c r="IXX78" s="278" t="inlineStr"/>
      <c r="IXY78" s="278" t="inlineStr"/>
      <c r="IXZ78" s="278" t="inlineStr"/>
      <c r="IYA78" s="278" t="inlineStr"/>
      <c r="IYB78" s="278" t="inlineStr"/>
      <c r="IYC78" s="278" t="inlineStr"/>
      <c r="IYD78" s="278" t="inlineStr"/>
      <c r="IYE78" s="278" t="inlineStr"/>
      <c r="IYF78" s="278" t="inlineStr"/>
      <c r="IYG78" s="278" t="inlineStr"/>
      <c r="IYH78" s="278" t="inlineStr"/>
      <c r="IYI78" s="278" t="inlineStr"/>
      <c r="IYJ78" s="278" t="inlineStr"/>
      <c r="IYK78" s="278" t="inlineStr"/>
      <c r="IYL78" s="278" t="inlineStr"/>
      <c r="IYM78" s="278" t="inlineStr"/>
      <c r="IYN78" s="278" t="inlineStr"/>
      <c r="IYO78" s="278" t="inlineStr"/>
      <c r="IYP78" s="278" t="inlineStr"/>
      <c r="IYQ78" s="278" t="inlineStr"/>
      <c r="IYR78" s="278" t="inlineStr"/>
      <c r="IYS78" s="278" t="inlineStr"/>
      <c r="IYT78" s="278" t="inlineStr"/>
      <c r="IYU78" s="278" t="inlineStr"/>
      <c r="IYV78" s="278" t="inlineStr"/>
      <c r="IYW78" s="278" t="inlineStr"/>
      <c r="IYX78" s="278" t="inlineStr"/>
      <c r="IYY78" s="278" t="inlineStr"/>
      <c r="IYZ78" s="278" t="inlineStr"/>
      <c r="IZA78" s="278" t="inlineStr"/>
      <c r="IZB78" s="278" t="inlineStr"/>
      <c r="IZC78" s="278" t="inlineStr"/>
      <c r="IZD78" s="278" t="inlineStr"/>
      <c r="IZE78" s="278" t="inlineStr"/>
      <c r="IZF78" s="278" t="inlineStr"/>
      <c r="IZG78" s="278" t="inlineStr"/>
      <c r="IZH78" s="278" t="inlineStr"/>
      <c r="IZI78" s="278" t="inlineStr"/>
      <c r="IZJ78" s="278" t="inlineStr"/>
      <c r="IZK78" s="278" t="inlineStr"/>
      <c r="IZL78" s="278" t="inlineStr"/>
      <c r="IZM78" s="278" t="inlineStr"/>
      <c r="IZN78" s="278" t="inlineStr"/>
      <c r="IZO78" s="278" t="inlineStr"/>
      <c r="IZP78" s="278" t="inlineStr"/>
      <c r="IZQ78" s="278" t="inlineStr"/>
      <c r="IZR78" s="278" t="inlineStr"/>
      <c r="IZS78" s="278" t="inlineStr"/>
      <c r="IZT78" s="278" t="inlineStr"/>
      <c r="IZU78" s="278" t="inlineStr"/>
      <c r="IZV78" s="278" t="inlineStr"/>
      <c r="IZW78" s="278" t="inlineStr"/>
      <c r="IZX78" s="278" t="inlineStr"/>
      <c r="IZY78" s="278" t="inlineStr"/>
      <c r="IZZ78" s="278" t="inlineStr"/>
      <c r="JAA78" s="278" t="inlineStr"/>
      <c r="JAB78" s="278" t="inlineStr"/>
      <c r="JAC78" s="278" t="inlineStr"/>
      <c r="JAD78" s="278" t="inlineStr"/>
      <c r="JAE78" s="278" t="inlineStr"/>
      <c r="JAF78" s="278" t="inlineStr"/>
      <c r="JAG78" s="278" t="inlineStr"/>
      <c r="JAH78" s="278" t="inlineStr"/>
      <c r="JAI78" s="278" t="inlineStr"/>
      <c r="JAJ78" s="278" t="inlineStr"/>
      <c r="JAK78" s="278" t="inlineStr"/>
      <c r="JAL78" s="278" t="inlineStr"/>
      <c r="JAM78" s="278" t="inlineStr"/>
      <c r="JAN78" s="278" t="inlineStr"/>
      <c r="JAO78" s="278" t="inlineStr"/>
      <c r="JAP78" s="278" t="inlineStr"/>
      <c r="JAQ78" s="278" t="inlineStr"/>
      <c r="JAR78" s="278" t="inlineStr"/>
      <c r="JAS78" s="278" t="inlineStr"/>
      <c r="JAT78" s="278" t="inlineStr"/>
      <c r="JAU78" s="278" t="inlineStr"/>
      <c r="JAV78" s="278" t="inlineStr"/>
      <c r="JAW78" s="278" t="inlineStr"/>
      <c r="JAX78" s="278" t="inlineStr"/>
      <c r="JAY78" s="278" t="inlineStr"/>
      <c r="JAZ78" s="278" t="inlineStr"/>
      <c r="JBA78" s="278" t="inlineStr"/>
      <c r="JBB78" s="278" t="inlineStr"/>
      <c r="JBC78" s="278" t="inlineStr"/>
      <c r="JBD78" s="278" t="inlineStr"/>
      <c r="JBE78" s="278" t="inlineStr"/>
      <c r="JBF78" s="278" t="inlineStr"/>
      <c r="JBG78" s="278" t="inlineStr"/>
      <c r="JBH78" s="278" t="inlineStr"/>
      <c r="JBI78" s="278" t="inlineStr"/>
      <c r="JBJ78" s="278" t="inlineStr"/>
      <c r="JBK78" s="278" t="inlineStr"/>
      <c r="JBL78" s="278" t="inlineStr"/>
      <c r="JBM78" s="278" t="inlineStr"/>
      <c r="JBN78" s="278" t="inlineStr"/>
      <c r="JBO78" s="278" t="inlineStr"/>
      <c r="JBP78" s="278" t="inlineStr"/>
      <c r="JBQ78" s="278" t="inlineStr"/>
      <c r="JBR78" s="278" t="inlineStr"/>
      <c r="JBS78" s="278" t="inlineStr"/>
      <c r="JBT78" s="278" t="inlineStr"/>
      <c r="JBU78" s="278" t="inlineStr"/>
      <c r="JBV78" s="278" t="inlineStr"/>
      <c r="JBW78" s="278" t="inlineStr"/>
      <c r="JBX78" s="278" t="inlineStr"/>
      <c r="JBY78" s="278" t="inlineStr"/>
      <c r="JBZ78" s="278" t="inlineStr"/>
      <c r="JCA78" s="278" t="inlineStr"/>
      <c r="JCB78" s="278" t="inlineStr"/>
      <c r="JCC78" s="278" t="inlineStr"/>
      <c r="JCD78" s="278" t="inlineStr"/>
      <c r="JCE78" s="278" t="inlineStr"/>
      <c r="JCF78" s="278" t="inlineStr"/>
      <c r="JCG78" s="278" t="inlineStr"/>
      <c r="JCH78" s="278" t="inlineStr"/>
      <c r="JCI78" s="278" t="inlineStr"/>
      <c r="JCJ78" s="278" t="inlineStr"/>
      <c r="JCK78" s="278" t="inlineStr"/>
      <c r="JCL78" s="278" t="inlineStr"/>
      <c r="JCM78" s="278" t="inlineStr"/>
      <c r="JCN78" s="278" t="inlineStr"/>
      <c r="JCO78" s="278" t="inlineStr"/>
      <c r="JCP78" s="278" t="inlineStr"/>
      <c r="JCQ78" s="278" t="inlineStr"/>
      <c r="JCR78" s="278" t="inlineStr"/>
      <c r="JCS78" s="278" t="inlineStr"/>
      <c r="JCT78" s="278" t="inlineStr"/>
      <c r="JCU78" s="278" t="inlineStr"/>
      <c r="JCV78" s="278" t="inlineStr"/>
      <c r="JCW78" s="278" t="inlineStr"/>
      <c r="JCX78" s="278" t="inlineStr"/>
      <c r="JCY78" s="278" t="inlineStr"/>
      <c r="JCZ78" s="278" t="inlineStr"/>
      <c r="JDA78" s="278" t="inlineStr"/>
      <c r="JDB78" s="278" t="inlineStr"/>
      <c r="JDC78" s="278" t="inlineStr"/>
      <c r="JDD78" s="278" t="inlineStr"/>
      <c r="JDE78" s="278" t="inlineStr"/>
      <c r="JDF78" s="278" t="inlineStr"/>
      <c r="JDG78" s="278" t="inlineStr"/>
      <c r="JDH78" s="278" t="inlineStr"/>
      <c r="JDI78" s="278" t="inlineStr"/>
      <c r="JDJ78" s="278" t="inlineStr"/>
      <c r="JDK78" s="278" t="inlineStr"/>
      <c r="JDL78" s="278" t="inlineStr"/>
      <c r="JDM78" s="278" t="inlineStr"/>
      <c r="JDN78" s="278" t="inlineStr"/>
      <c r="JDO78" s="278" t="inlineStr"/>
      <c r="JDP78" s="278" t="inlineStr"/>
      <c r="JDQ78" s="278" t="inlineStr"/>
      <c r="JDR78" s="278" t="inlineStr"/>
      <c r="JDS78" s="278" t="inlineStr"/>
      <c r="JDT78" s="278" t="inlineStr"/>
      <c r="JDU78" s="278" t="inlineStr"/>
      <c r="JDV78" s="278" t="inlineStr"/>
      <c r="JDW78" s="278" t="inlineStr"/>
      <c r="JDX78" s="278" t="inlineStr"/>
      <c r="JDY78" s="278" t="inlineStr"/>
      <c r="JDZ78" s="278" t="inlineStr"/>
      <c r="JEA78" s="278" t="inlineStr"/>
      <c r="JEB78" s="278" t="inlineStr"/>
      <c r="JEC78" s="278" t="inlineStr"/>
      <c r="JED78" s="278" t="inlineStr"/>
      <c r="JEE78" s="278" t="inlineStr"/>
      <c r="JEF78" s="278" t="inlineStr"/>
      <c r="JEG78" s="278" t="inlineStr"/>
      <c r="JEH78" s="278" t="inlineStr"/>
      <c r="JEI78" s="278" t="inlineStr"/>
      <c r="JEJ78" s="278" t="inlineStr"/>
      <c r="JEK78" s="278" t="inlineStr"/>
      <c r="JEL78" s="278" t="inlineStr"/>
      <c r="JEM78" s="278" t="inlineStr"/>
      <c r="JEN78" s="278" t="inlineStr"/>
      <c r="JEO78" s="278" t="inlineStr"/>
      <c r="JEP78" s="278" t="inlineStr"/>
      <c r="JEQ78" s="278" t="inlineStr"/>
      <c r="JER78" s="278" t="inlineStr"/>
      <c r="JES78" s="278" t="inlineStr"/>
      <c r="JET78" s="278" t="inlineStr"/>
      <c r="JEU78" s="278" t="inlineStr"/>
      <c r="JEV78" s="278" t="inlineStr"/>
      <c r="JEW78" s="278" t="inlineStr"/>
      <c r="JEX78" s="278" t="inlineStr"/>
      <c r="JEY78" s="278" t="inlineStr"/>
      <c r="JEZ78" s="278" t="inlineStr"/>
      <c r="JFA78" s="278" t="inlineStr"/>
      <c r="JFB78" s="278" t="inlineStr"/>
      <c r="JFC78" s="278" t="inlineStr"/>
      <c r="JFD78" s="278" t="inlineStr"/>
      <c r="JFE78" s="278" t="inlineStr"/>
      <c r="JFF78" s="278" t="inlineStr"/>
      <c r="JFG78" s="278" t="inlineStr"/>
      <c r="JFH78" s="278" t="inlineStr"/>
      <c r="JFI78" s="278" t="inlineStr"/>
      <c r="JFJ78" s="278" t="inlineStr"/>
      <c r="JFK78" s="278" t="inlineStr"/>
      <c r="JFL78" s="278" t="inlineStr"/>
      <c r="JFM78" s="278" t="inlineStr"/>
      <c r="JFN78" s="278" t="inlineStr"/>
      <c r="JFO78" s="278" t="inlineStr"/>
      <c r="JFP78" s="278" t="inlineStr"/>
      <c r="JFQ78" s="278" t="inlineStr"/>
      <c r="JFR78" s="278" t="inlineStr"/>
      <c r="JFS78" s="278" t="inlineStr"/>
      <c r="JFT78" s="278" t="inlineStr"/>
      <c r="JFU78" s="278" t="inlineStr"/>
      <c r="JFV78" s="278" t="inlineStr"/>
      <c r="JFW78" s="278" t="inlineStr"/>
      <c r="JFX78" s="278" t="inlineStr"/>
      <c r="JFY78" s="278" t="inlineStr"/>
      <c r="JFZ78" s="278" t="inlineStr"/>
      <c r="JGA78" s="278" t="inlineStr"/>
      <c r="JGB78" s="278" t="inlineStr"/>
      <c r="JGC78" s="278" t="inlineStr"/>
      <c r="JGD78" s="278" t="inlineStr"/>
      <c r="JGE78" s="278" t="inlineStr"/>
      <c r="JGF78" s="278" t="inlineStr"/>
      <c r="JGG78" s="278" t="inlineStr"/>
      <c r="JGH78" s="278" t="inlineStr"/>
      <c r="JGI78" s="278" t="inlineStr"/>
      <c r="JGJ78" s="278" t="inlineStr"/>
      <c r="JGK78" s="278" t="inlineStr"/>
      <c r="JGL78" s="278" t="inlineStr"/>
      <c r="JGM78" s="278" t="inlineStr"/>
      <c r="JGN78" s="278" t="inlineStr"/>
      <c r="JGO78" s="278" t="inlineStr"/>
      <c r="JGP78" s="278" t="inlineStr"/>
      <c r="JGQ78" s="278" t="inlineStr"/>
      <c r="JGR78" s="278" t="inlineStr"/>
      <c r="JGS78" s="278" t="inlineStr"/>
      <c r="JGT78" s="278" t="inlineStr"/>
      <c r="JGU78" s="278" t="inlineStr"/>
      <c r="JGV78" s="278" t="inlineStr"/>
      <c r="JGW78" s="278" t="inlineStr"/>
      <c r="JGX78" s="278" t="inlineStr"/>
      <c r="JGY78" s="278" t="inlineStr"/>
      <c r="JGZ78" s="278" t="inlineStr"/>
      <c r="JHA78" s="278" t="inlineStr"/>
      <c r="JHB78" s="278" t="inlineStr"/>
      <c r="JHC78" s="278" t="inlineStr"/>
      <c r="JHD78" s="278" t="inlineStr"/>
      <c r="JHE78" s="278" t="inlineStr"/>
      <c r="JHF78" s="278" t="inlineStr"/>
      <c r="JHG78" s="278" t="inlineStr"/>
      <c r="JHH78" s="278" t="inlineStr"/>
      <c r="JHI78" s="278" t="inlineStr"/>
      <c r="JHJ78" s="278" t="inlineStr"/>
      <c r="JHK78" s="278" t="inlineStr"/>
      <c r="JHL78" s="278" t="inlineStr"/>
      <c r="JHM78" s="278" t="inlineStr"/>
      <c r="JHN78" s="278" t="inlineStr"/>
      <c r="JHO78" s="278" t="inlineStr"/>
      <c r="JHP78" s="278" t="inlineStr"/>
      <c r="JHQ78" s="278" t="inlineStr"/>
      <c r="JHR78" s="278" t="inlineStr"/>
      <c r="JHS78" s="278" t="inlineStr"/>
      <c r="JHT78" s="278" t="inlineStr"/>
      <c r="JHU78" s="278" t="inlineStr"/>
      <c r="JHV78" s="278" t="inlineStr"/>
      <c r="JHW78" s="278" t="inlineStr"/>
      <c r="JHX78" s="278" t="inlineStr"/>
      <c r="JHY78" s="278" t="inlineStr"/>
      <c r="JHZ78" s="278" t="inlineStr"/>
      <c r="JIA78" s="278" t="inlineStr"/>
      <c r="JIB78" s="278" t="inlineStr"/>
      <c r="JIC78" s="278" t="inlineStr"/>
      <c r="JID78" s="278" t="inlineStr"/>
      <c r="JIE78" s="278" t="inlineStr"/>
      <c r="JIF78" s="278" t="inlineStr"/>
      <c r="JIG78" s="278" t="inlineStr"/>
      <c r="JIH78" s="278" t="inlineStr"/>
      <c r="JII78" s="278" t="inlineStr"/>
      <c r="JIJ78" s="278" t="inlineStr"/>
      <c r="JIK78" s="278" t="inlineStr"/>
      <c r="JIL78" s="278" t="inlineStr"/>
      <c r="JIM78" s="278" t="inlineStr"/>
      <c r="JIN78" s="278" t="inlineStr"/>
      <c r="JIO78" s="278" t="inlineStr"/>
      <c r="JIP78" s="278" t="inlineStr"/>
      <c r="JIQ78" s="278" t="inlineStr"/>
      <c r="JIR78" s="278" t="inlineStr"/>
      <c r="JIS78" s="278" t="inlineStr"/>
      <c r="JIT78" s="278" t="inlineStr"/>
      <c r="JIU78" s="278" t="inlineStr"/>
      <c r="JIV78" s="278" t="inlineStr"/>
      <c r="JIW78" s="278" t="inlineStr"/>
      <c r="JIX78" s="278" t="inlineStr"/>
      <c r="JIY78" s="278" t="inlineStr"/>
      <c r="JIZ78" s="278" t="inlineStr"/>
      <c r="JJA78" s="278" t="inlineStr"/>
      <c r="JJB78" s="278" t="inlineStr"/>
      <c r="JJC78" s="278" t="inlineStr"/>
      <c r="JJD78" s="278" t="inlineStr"/>
      <c r="JJE78" s="278" t="inlineStr"/>
      <c r="JJF78" s="278" t="inlineStr"/>
      <c r="JJG78" s="278" t="inlineStr"/>
      <c r="JJH78" s="278" t="inlineStr"/>
      <c r="JJI78" s="278" t="inlineStr"/>
      <c r="JJJ78" s="278" t="inlineStr"/>
      <c r="JJK78" s="278" t="inlineStr"/>
      <c r="JJL78" s="278" t="inlineStr"/>
      <c r="JJM78" s="278" t="inlineStr"/>
      <c r="JJN78" s="278" t="inlineStr"/>
      <c r="JJO78" s="278" t="inlineStr"/>
      <c r="JJP78" s="278" t="inlineStr"/>
      <c r="JJQ78" s="278" t="inlineStr"/>
      <c r="JJR78" s="278" t="inlineStr"/>
      <c r="JJS78" s="278" t="inlineStr"/>
      <c r="JJT78" s="278" t="inlineStr"/>
      <c r="JJU78" s="278" t="inlineStr"/>
      <c r="JJV78" s="278" t="inlineStr"/>
      <c r="JJW78" s="278" t="inlineStr"/>
      <c r="JJX78" s="278" t="inlineStr"/>
      <c r="JJY78" s="278" t="inlineStr"/>
      <c r="JJZ78" s="278" t="inlineStr"/>
      <c r="JKA78" s="278" t="inlineStr"/>
      <c r="JKB78" s="278" t="inlineStr"/>
      <c r="JKC78" s="278" t="inlineStr"/>
      <c r="JKD78" s="278" t="inlineStr"/>
      <c r="JKE78" s="278" t="inlineStr"/>
      <c r="JKF78" s="278" t="inlineStr"/>
      <c r="JKG78" s="278" t="inlineStr"/>
      <c r="JKH78" s="278" t="inlineStr"/>
      <c r="JKI78" s="278" t="inlineStr"/>
      <c r="JKJ78" s="278" t="inlineStr"/>
      <c r="JKK78" s="278" t="inlineStr"/>
      <c r="JKL78" s="278" t="inlineStr"/>
      <c r="JKM78" s="278" t="inlineStr"/>
      <c r="JKN78" s="278" t="inlineStr"/>
      <c r="JKO78" s="278" t="inlineStr"/>
      <c r="JKP78" s="278" t="inlineStr"/>
      <c r="JKQ78" s="278" t="inlineStr"/>
      <c r="JKR78" s="278" t="inlineStr"/>
      <c r="JKS78" s="278" t="inlineStr"/>
      <c r="JKT78" s="278" t="inlineStr"/>
      <c r="JKU78" s="278" t="inlineStr"/>
      <c r="JKV78" s="278" t="inlineStr"/>
      <c r="JKW78" s="278" t="inlineStr"/>
      <c r="JKX78" s="278" t="inlineStr"/>
      <c r="JKY78" s="278" t="inlineStr"/>
      <c r="JKZ78" s="278" t="inlineStr"/>
      <c r="JLA78" s="278" t="inlineStr"/>
      <c r="JLB78" s="278" t="inlineStr"/>
      <c r="JLC78" s="278" t="inlineStr"/>
      <c r="JLD78" s="278" t="inlineStr"/>
      <c r="JLE78" s="278" t="inlineStr"/>
      <c r="JLF78" s="278" t="inlineStr"/>
      <c r="JLG78" s="278" t="inlineStr"/>
      <c r="JLH78" s="278" t="inlineStr"/>
      <c r="JLI78" s="278" t="inlineStr"/>
      <c r="JLJ78" s="278" t="inlineStr"/>
      <c r="JLK78" s="278" t="inlineStr"/>
      <c r="JLL78" s="278" t="inlineStr"/>
      <c r="JLM78" s="278" t="inlineStr"/>
      <c r="JLN78" s="278" t="inlineStr"/>
      <c r="JLO78" s="278" t="inlineStr"/>
      <c r="JLP78" s="278" t="inlineStr"/>
      <c r="JLQ78" s="278" t="inlineStr"/>
      <c r="JLR78" s="278" t="inlineStr"/>
      <c r="JLS78" s="278" t="inlineStr"/>
      <c r="JLT78" s="278" t="inlineStr"/>
      <c r="JLU78" s="278" t="inlineStr"/>
      <c r="JLV78" s="278" t="inlineStr"/>
      <c r="JLW78" s="278" t="inlineStr"/>
      <c r="JLX78" s="278" t="inlineStr"/>
      <c r="JLY78" s="278" t="inlineStr"/>
      <c r="JLZ78" s="278" t="inlineStr"/>
      <c r="JMA78" s="278" t="inlineStr"/>
      <c r="JMB78" s="278" t="inlineStr"/>
      <c r="JMC78" s="278" t="inlineStr"/>
      <c r="JMD78" s="278" t="inlineStr"/>
      <c r="JME78" s="278" t="inlineStr"/>
      <c r="JMF78" s="278" t="inlineStr"/>
      <c r="JMG78" s="278" t="inlineStr"/>
      <c r="JMH78" s="278" t="inlineStr"/>
      <c r="JMI78" s="278" t="inlineStr"/>
      <c r="JMJ78" s="278" t="inlineStr"/>
      <c r="JMK78" s="278" t="inlineStr"/>
      <c r="JML78" s="278" t="inlineStr"/>
      <c r="JMM78" s="278" t="inlineStr"/>
      <c r="JMN78" s="278" t="inlineStr"/>
      <c r="JMO78" s="278" t="inlineStr"/>
      <c r="JMP78" s="278" t="inlineStr"/>
      <c r="JMQ78" s="278" t="inlineStr"/>
      <c r="JMR78" s="278" t="inlineStr"/>
      <c r="JMS78" s="278" t="inlineStr"/>
      <c r="JMT78" s="278" t="inlineStr"/>
      <c r="JMU78" s="278" t="inlineStr"/>
      <c r="JMV78" s="278" t="inlineStr"/>
      <c r="JMW78" s="278" t="inlineStr"/>
      <c r="JMX78" s="278" t="inlineStr"/>
      <c r="JMY78" s="278" t="inlineStr"/>
      <c r="JMZ78" s="278" t="inlineStr"/>
      <c r="JNA78" s="278" t="inlineStr"/>
      <c r="JNB78" s="278" t="inlineStr"/>
      <c r="JNC78" s="278" t="inlineStr"/>
      <c r="JND78" s="278" t="inlineStr"/>
      <c r="JNE78" s="278" t="inlineStr"/>
      <c r="JNF78" s="278" t="inlineStr"/>
      <c r="JNG78" s="278" t="inlineStr"/>
      <c r="JNH78" s="278" t="inlineStr"/>
      <c r="JNI78" s="278" t="inlineStr"/>
      <c r="JNJ78" s="278" t="inlineStr"/>
      <c r="JNK78" s="278" t="inlineStr"/>
      <c r="JNL78" s="278" t="inlineStr"/>
      <c r="JNM78" s="278" t="inlineStr"/>
      <c r="JNN78" s="278" t="inlineStr"/>
      <c r="JNO78" s="278" t="inlineStr"/>
      <c r="JNP78" s="278" t="inlineStr"/>
      <c r="JNQ78" s="278" t="inlineStr"/>
      <c r="JNR78" s="278" t="inlineStr"/>
      <c r="JNS78" s="278" t="inlineStr"/>
      <c r="JNT78" s="278" t="inlineStr"/>
      <c r="JNU78" s="278" t="inlineStr"/>
      <c r="JNV78" s="278" t="inlineStr"/>
      <c r="JNW78" s="278" t="inlineStr"/>
      <c r="JNX78" s="278" t="inlineStr"/>
      <c r="JNY78" s="278" t="inlineStr"/>
      <c r="JNZ78" s="278" t="inlineStr"/>
      <c r="JOA78" s="278" t="inlineStr"/>
      <c r="JOB78" s="278" t="inlineStr"/>
      <c r="JOC78" s="278" t="inlineStr"/>
      <c r="JOD78" s="278" t="inlineStr"/>
      <c r="JOE78" s="278" t="inlineStr"/>
      <c r="JOF78" s="278" t="inlineStr"/>
      <c r="JOG78" s="278" t="inlineStr"/>
      <c r="JOH78" s="278" t="inlineStr"/>
      <c r="JOI78" s="278" t="inlineStr"/>
      <c r="JOJ78" s="278" t="inlineStr"/>
      <c r="JOK78" s="278" t="inlineStr"/>
      <c r="JOL78" s="278" t="inlineStr"/>
      <c r="JOM78" s="278" t="inlineStr"/>
      <c r="JON78" s="278" t="inlineStr"/>
      <c r="JOO78" s="278" t="inlineStr"/>
      <c r="JOP78" s="278" t="inlineStr"/>
      <c r="JOQ78" s="278" t="inlineStr"/>
      <c r="JOR78" s="278" t="inlineStr"/>
      <c r="JOS78" s="278" t="inlineStr"/>
      <c r="JOT78" s="278" t="inlineStr"/>
      <c r="JOU78" s="278" t="inlineStr"/>
      <c r="JOV78" s="278" t="inlineStr"/>
      <c r="JOW78" s="278" t="inlineStr"/>
      <c r="JOX78" s="278" t="inlineStr"/>
      <c r="JOY78" s="278" t="inlineStr"/>
      <c r="JOZ78" s="278" t="inlineStr"/>
      <c r="JPA78" s="278" t="inlineStr"/>
      <c r="JPB78" s="278" t="inlineStr"/>
      <c r="JPC78" s="278" t="inlineStr"/>
      <c r="JPD78" s="278" t="inlineStr"/>
      <c r="JPE78" s="278" t="inlineStr"/>
      <c r="JPF78" s="278" t="inlineStr"/>
      <c r="JPG78" s="278" t="inlineStr"/>
      <c r="JPH78" s="278" t="inlineStr"/>
      <c r="JPI78" s="278" t="inlineStr"/>
      <c r="JPJ78" s="278" t="inlineStr"/>
      <c r="JPK78" s="278" t="inlineStr"/>
      <c r="JPL78" s="278" t="inlineStr"/>
      <c r="JPM78" s="278" t="inlineStr"/>
      <c r="JPN78" s="278" t="inlineStr"/>
      <c r="JPO78" s="278" t="inlineStr"/>
      <c r="JPP78" s="278" t="inlineStr"/>
      <c r="JPQ78" s="278" t="inlineStr"/>
      <c r="JPR78" s="278" t="inlineStr"/>
      <c r="JPS78" s="278" t="inlineStr"/>
      <c r="JPT78" s="278" t="inlineStr"/>
      <c r="JPU78" s="278" t="inlineStr"/>
      <c r="JPV78" s="278" t="inlineStr"/>
      <c r="JPW78" s="278" t="inlineStr"/>
      <c r="JPX78" s="278" t="inlineStr"/>
      <c r="JPY78" s="278" t="inlineStr"/>
      <c r="JPZ78" s="278" t="inlineStr"/>
      <c r="JQA78" s="278" t="inlineStr"/>
      <c r="JQB78" s="278" t="inlineStr"/>
      <c r="JQC78" s="278" t="inlineStr"/>
      <c r="JQD78" s="278" t="inlineStr"/>
      <c r="JQE78" s="278" t="inlineStr"/>
      <c r="JQF78" s="278" t="inlineStr"/>
      <c r="JQG78" s="278" t="inlineStr"/>
      <c r="JQH78" s="278" t="inlineStr"/>
      <c r="JQI78" s="278" t="inlineStr"/>
      <c r="JQJ78" s="278" t="inlineStr"/>
      <c r="JQK78" s="278" t="inlineStr"/>
      <c r="JQL78" s="278" t="inlineStr"/>
      <c r="JQM78" s="278" t="inlineStr"/>
      <c r="JQN78" s="278" t="inlineStr"/>
      <c r="JQO78" s="278" t="inlineStr"/>
      <c r="JQP78" s="278" t="inlineStr"/>
      <c r="JQQ78" s="278" t="inlineStr"/>
      <c r="JQR78" s="278" t="inlineStr"/>
      <c r="JQS78" s="278" t="inlineStr"/>
      <c r="JQT78" s="278" t="inlineStr"/>
      <c r="JQU78" s="278" t="inlineStr"/>
      <c r="JQV78" s="278" t="inlineStr"/>
      <c r="JQW78" s="278" t="inlineStr"/>
      <c r="JQX78" s="278" t="inlineStr"/>
      <c r="JQY78" s="278" t="inlineStr"/>
      <c r="JQZ78" s="278" t="inlineStr"/>
      <c r="JRA78" s="278" t="inlineStr"/>
      <c r="JRB78" s="278" t="inlineStr"/>
      <c r="JRC78" s="278" t="inlineStr"/>
      <c r="JRD78" s="278" t="inlineStr"/>
      <c r="JRE78" s="278" t="inlineStr"/>
      <c r="JRF78" s="278" t="inlineStr"/>
      <c r="JRG78" s="278" t="inlineStr"/>
      <c r="JRH78" s="278" t="inlineStr"/>
      <c r="JRI78" s="278" t="inlineStr"/>
      <c r="JRJ78" s="278" t="inlineStr"/>
      <c r="JRK78" s="278" t="inlineStr"/>
      <c r="JRL78" s="278" t="inlineStr"/>
      <c r="JRM78" s="278" t="inlineStr"/>
      <c r="JRN78" s="278" t="inlineStr"/>
      <c r="JRO78" s="278" t="inlineStr"/>
      <c r="JRP78" s="278" t="inlineStr"/>
      <c r="JRQ78" s="278" t="inlineStr"/>
      <c r="JRR78" s="278" t="inlineStr"/>
      <c r="JRS78" s="278" t="inlineStr"/>
      <c r="JRT78" s="278" t="inlineStr"/>
      <c r="JRU78" s="278" t="inlineStr"/>
      <c r="JRV78" s="278" t="inlineStr"/>
      <c r="JRW78" s="278" t="inlineStr"/>
      <c r="JRX78" s="278" t="inlineStr"/>
      <c r="JRY78" s="278" t="inlineStr"/>
      <c r="JRZ78" s="278" t="inlineStr"/>
      <c r="JSA78" s="278" t="inlineStr"/>
      <c r="JSB78" s="278" t="inlineStr"/>
      <c r="JSC78" s="278" t="inlineStr"/>
      <c r="JSD78" s="278" t="inlineStr"/>
      <c r="JSE78" s="278" t="inlineStr"/>
      <c r="JSF78" s="278" t="inlineStr"/>
      <c r="JSG78" s="278" t="inlineStr"/>
      <c r="JSH78" s="278" t="inlineStr"/>
      <c r="JSI78" s="278" t="inlineStr"/>
      <c r="JSJ78" s="278" t="inlineStr"/>
      <c r="JSK78" s="278" t="inlineStr"/>
      <c r="JSL78" s="278" t="inlineStr"/>
      <c r="JSM78" s="278" t="inlineStr"/>
      <c r="JSN78" s="278" t="inlineStr"/>
      <c r="JSO78" s="278" t="inlineStr"/>
      <c r="JSP78" s="278" t="inlineStr"/>
      <c r="JSQ78" s="278" t="inlineStr"/>
      <c r="JSR78" s="278" t="inlineStr"/>
      <c r="JSS78" s="278" t="inlineStr"/>
      <c r="JST78" s="278" t="inlineStr"/>
      <c r="JSU78" s="278" t="inlineStr"/>
      <c r="JSV78" s="278" t="inlineStr"/>
      <c r="JSW78" s="278" t="inlineStr"/>
      <c r="JSX78" s="278" t="inlineStr"/>
      <c r="JSY78" s="278" t="inlineStr"/>
      <c r="JSZ78" s="278" t="inlineStr"/>
      <c r="JTA78" s="278" t="inlineStr"/>
      <c r="JTB78" s="278" t="inlineStr"/>
      <c r="JTC78" s="278" t="inlineStr"/>
      <c r="JTD78" s="278" t="inlineStr"/>
      <c r="JTE78" s="278" t="inlineStr"/>
      <c r="JTF78" s="278" t="inlineStr"/>
      <c r="JTG78" s="278" t="inlineStr"/>
      <c r="JTH78" s="278" t="inlineStr"/>
      <c r="JTI78" s="278" t="inlineStr"/>
      <c r="JTJ78" s="278" t="inlineStr"/>
      <c r="JTK78" s="278" t="inlineStr"/>
      <c r="JTL78" s="278" t="inlineStr"/>
      <c r="JTM78" s="278" t="inlineStr"/>
      <c r="JTN78" s="278" t="inlineStr"/>
      <c r="JTO78" s="278" t="inlineStr"/>
      <c r="JTP78" s="278" t="inlineStr"/>
      <c r="JTQ78" s="278" t="inlineStr"/>
      <c r="JTR78" s="278" t="inlineStr"/>
      <c r="JTS78" s="278" t="inlineStr"/>
      <c r="JTT78" s="278" t="inlineStr"/>
      <c r="JTU78" s="278" t="inlineStr"/>
      <c r="JTV78" s="278" t="inlineStr"/>
      <c r="JTW78" s="278" t="inlineStr"/>
      <c r="JTX78" s="278" t="inlineStr"/>
      <c r="JTY78" s="278" t="inlineStr"/>
      <c r="JTZ78" s="278" t="inlineStr"/>
      <c r="JUA78" s="278" t="inlineStr"/>
      <c r="JUB78" s="278" t="inlineStr"/>
      <c r="JUC78" s="278" t="inlineStr"/>
      <c r="JUD78" s="278" t="inlineStr"/>
      <c r="JUE78" s="278" t="inlineStr"/>
      <c r="JUF78" s="278" t="inlineStr"/>
      <c r="JUG78" s="278" t="inlineStr"/>
      <c r="JUH78" s="278" t="inlineStr"/>
      <c r="JUI78" s="278" t="inlineStr"/>
      <c r="JUJ78" s="278" t="inlineStr"/>
      <c r="JUK78" s="278" t="inlineStr"/>
      <c r="JUL78" s="278" t="inlineStr"/>
      <c r="JUM78" s="278" t="inlineStr"/>
      <c r="JUN78" s="278" t="inlineStr"/>
      <c r="JUO78" s="278" t="inlineStr"/>
      <c r="JUP78" s="278" t="inlineStr"/>
      <c r="JUQ78" s="278" t="inlineStr"/>
      <c r="JUR78" s="278" t="inlineStr"/>
      <c r="JUS78" s="278" t="inlineStr"/>
      <c r="JUT78" s="278" t="inlineStr"/>
      <c r="JUU78" s="278" t="inlineStr"/>
      <c r="JUV78" s="278" t="inlineStr"/>
      <c r="JUW78" s="278" t="inlineStr"/>
      <c r="JUX78" s="278" t="inlineStr"/>
      <c r="JUY78" s="278" t="inlineStr"/>
      <c r="JUZ78" s="278" t="inlineStr"/>
      <c r="JVA78" s="278" t="inlineStr"/>
      <c r="JVB78" s="278" t="inlineStr"/>
      <c r="JVC78" s="278" t="inlineStr"/>
      <c r="JVD78" s="278" t="inlineStr"/>
      <c r="JVE78" s="278" t="inlineStr"/>
      <c r="JVF78" s="278" t="inlineStr"/>
      <c r="JVG78" s="278" t="inlineStr"/>
      <c r="JVH78" s="278" t="inlineStr"/>
      <c r="JVI78" s="278" t="inlineStr"/>
      <c r="JVJ78" s="278" t="inlineStr"/>
      <c r="JVK78" s="278" t="inlineStr"/>
      <c r="JVL78" s="278" t="inlineStr"/>
      <c r="JVM78" s="278" t="inlineStr"/>
      <c r="JVN78" s="278" t="inlineStr"/>
      <c r="JVO78" s="278" t="inlineStr"/>
      <c r="JVP78" s="278" t="inlineStr"/>
      <c r="JVQ78" s="278" t="inlineStr"/>
      <c r="JVR78" s="278" t="inlineStr"/>
      <c r="JVS78" s="278" t="inlineStr"/>
      <c r="JVT78" s="278" t="inlineStr"/>
      <c r="JVU78" s="278" t="inlineStr"/>
      <c r="JVV78" s="278" t="inlineStr"/>
      <c r="JVW78" s="278" t="inlineStr"/>
      <c r="JVX78" s="278" t="inlineStr"/>
      <c r="JVY78" s="278" t="inlineStr"/>
      <c r="JVZ78" s="278" t="inlineStr"/>
      <c r="JWA78" s="278" t="inlineStr"/>
      <c r="JWB78" s="278" t="inlineStr"/>
      <c r="JWC78" s="278" t="inlineStr"/>
      <c r="JWD78" s="278" t="inlineStr"/>
      <c r="JWE78" s="278" t="inlineStr"/>
      <c r="JWF78" s="278" t="inlineStr"/>
      <c r="JWG78" s="278" t="inlineStr"/>
      <c r="JWH78" s="278" t="inlineStr"/>
      <c r="JWI78" s="278" t="inlineStr"/>
      <c r="JWJ78" s="278" t="inlineStr"/>
      <c r="JWK78" s="278" t="inlineStr"/>
      <c r="JWL78" s="278" t="inlineStr"/>
      <c r="JWM78" s="278" t="inlineStr"/>
      <c r="JWN78" s="278" t="inlineStr"/>
      <c r="JWO78" s="278" t="inlineStr"/>
      <c r="JWP78" s="278" t="inlineStr"/>
      <c r="JWQ78" s="278" t="inlineStr"/>
      <c r="JWR78" s="278" t="inlineStr"/>
      <c r="JWS78" s="278" t="inlineStr"/>
      <c r="JWT78" s="278" t="inlineStr"/>
      <c r="JWU78" s="278" t="inlineStr"/>
      <c r="JWV78" s="278" t="inlineStr"/>
      <c r="JWW78" s="278" t="inlineStr"/>
      <c r="JWX78" s="278" t="inlineStr"/>
      <c r="JWY78" s="278" t="inlineStr"/>
      <c r="JWZ78" s="278" t="inlineStr"/>
      <c r="JXA78" s="278" t="inlineStr"/>
      <c r="JXB78" s="278" t="inlineStr"/>
      <c r="JXC78" s="278" t="inlineStr"/>
      <c r="JXD78" s="278" t="inlineStr"/>
      <c r="JXE78" s="278" t="inlineStr"/>
      <c r="JXF78" s="278" t="inlineStr"/>
      <c r="JXG78" s="278" t="inlineStr"/>
      <c r="JXH78" s="278" t="inlineStr"/>
      <c r="JXI78" s="278" t="inlineStr"/>
      <c r="JXJ78" s="278" t="inlineStr"/>
      <c r="JXK78" s="278" t="inlineStr"/>
      <c r="JXL78" s="278" t="inlineStr"/>
      <c r="JXM78" s="278" t="inlineStr"/>
      <c r="JXN78" s="278" t="inlineStr"/>
      <c r="JXO78" s="278" t="inlineStr"/>
      <c r="JXP78" s="278" t="inlineStr"/>
      <c r="JXQ78" s="278" t="inlineStr"/>
      <c r="JXR78" s="278" t="inlineStr"/>
      <c r="JXS78" s="278" t="inlineStr"/>
      <c r="JXT78" s="278" t="inlineStr"/>
      <c r="JXU78" s="278" t="inlineStr"/>
      <c r="JXV78" s="278" t="inlineStr"/>
      <c r="JXW78" s="278" t="inlineStr"/>
      <c r="JXX78" s="278" t="inlineStr"/>
      <c r="JXY78" s="278" t="inlineStr"/>
      <c r="JXZ78" s="278" t="inlineStr"/>
      <c r="JYA78" s="278" t="inlineStr"/>
      <c r="JYB78" s="278" t="inlineStr"/>
      <c r="JYC78" s="278" t="inlineStr"/>
      <c r="JYD78" s="278" t="inlineStr"/>
      <c r="JYE78" s="278" t="inlineStr"/>
      <c r="JYF78" s="278" t="inlineStr"/>
      <c r="JYG78" s="278" t="inlineStr"/>
      <c r="JYH78" s="278" t="inlineStr"/>
      <c r="JYI78" s="278" t="inlineStr"/>
      <c r="JYJ78" s="278" t="inlineStr"/>
      <c r="JYK78" s="278" t="inlineStr"/>
      <c r="JYL78" s="278" t="inlineStr"/>
      <c r="JYM78" s="278" t="inlineStr"/>
      <c r="JYN78" s="278" t="inlineStr"/>
      <c r="JYO78" s="278" t="inlineStr"/>
      <c r="JYP78" s="278" t="inlineStr"/>
      <c r="JYQ78" s="278" t="inlineStr"/>
      <c r="JYR78" s="278" t="inlineStr"/>
      <c r="JYS78" s="278" t="inlineStr"/>
      <c r="JYT78" s="278" t="inlineStr"/>
      <c r="JYU78" s="278" t="inlineStr"/>
      <c r="JYV78" s="278" t="inlineStr"/>
      <c r="JYW78" s="278" t="inlineStr"/>
      <c r="JYX78" s="278" t="inlineStr"/>
      <c r="JYY78" s="278" t="inlineStr"/>
      <c r="JYZ78" s="278" t="inlineStr"/>
      <c r="JZA78" s="278" t="inlineStr"/>
      <c r="JZB78" s="278" t="inlineStr"/>
      <c r="JZC78" s="278" t="inlineStr"/>
      <c r="JZD78" s="278" t="inlineStr"/>
      <c r="JZE78" s="278" t="inlineStr"/>
      <c r="JZF78" s="278" t="inlineStr"/>
      <c r="JZG78" s="278" t="inlineStr"/>
      <c r="JZH78" s="278" t="inlineStr"/>
      <c r="JZI78" s="278" t="inlineStr"/>
      <c r="JZJ78" s="278" t="inlineStr"/>
      <c r="JZK78" s="278" t="inlineStr"/>
      <c r="JZL78" s="278" t="inlineStr"/>
      <c r="JZM78" s="278" t="inlineStr"/>
      <c r="JZN78" s="278" t="inlineStr"/>
      <c r="JZO78" s="278" t="inlineStr"/>
      <c r="JZP78" s="278" t="inlineStr"/>
      <c r="JZQ78" s="278" t="inlineStr"/>
      <c r="JZR78" s="278" t="inlineStr"/>
      <c r="JZS78" s="278" t="inlineStr"/>
      <c r="JZT78" s="278" t="inlineStr"/>
      <c r="JZU78" s="278" t="inlineStr"/>
      <c r="JZV78" s="278" t="inlineStr"/>
      <c r="JZW78" s="278" t="inlineStr"/>
      <c r="JZX78" s="278" t="inlineStr"/>
      <c r="JZY78" s="278" t="inlineStr"/>
      <c r="JZZ78" s="278" t="inlineStr"/>
      <c r="KAA78" s="278" t="inlineStr"/>
      <c r="KAB78" s="278" t="inlineStr"/>
      <c r="KAC78" s="278" t="inlineStr"/>
      <c r="KAD78" s="278" t="inlineStr"/>
      <c r="KAE78" s="278" t="inlineStr"/>
      <c r="KAF78" s="278" t="inlineStr"/>
      <c r="KAG78" s="278" t="inlineStr"/>
      <c r="KAH78" s="278" t="inlineStr"/>
      <c r="KAI78" s="278" t="inlineStr"/>
      <c r="KAJ78" s="278" t="inlineStr"/>
      <c r="KAK78" s="278" t="inlineStr"/>
      <c r="KAL78" s="278" t="inlineStr"/>
      <c r="KAM78" s="278" t="inlineStr"/>
      <c r="KAN78" s="278" t="inlineStr"/>
      <c r="KAO78" s="278" t="inlineStr"/>
      <c r="KAP78" s="278" t="inlineStr"/>
      <c r="KAQ78" s="278" t="inlineStr"/>
      <c r="KAR78" s="278" t="inlineStr"/>
      <c r="KAS78" s="278" t="inlineStr"/>
      <c r="KAT78" s="278" t="inlineStr"/>
      <c r="KAU78" s="278" t="inlineStr"/>
      <c r="KAV78" s="278" t="inlineStr"/>
      <c r="KAW78" s="278" t="inlineStr"/>
      <c r="KAX78" s="278" t="inlineStr"/>
      <c r="KAY78" s="278" t="inlineStr"/>
      <c r="KAZ78" s="278" t="inlineStr"/>
      <c r="KBA78" s="278" t="inlineStr"/>
      <c r="KBB78" s="278" t="inlineStr"/>
      <c r="KBC78" s="278" t="inlineStr"/>
      <c r="KBD78" s="278" t="inlineStr"/>
      <c r="KBE78" s="278" t="inlineStr"/>
      <c r="KBF78" s="278" t="inlineStr"/>
      <c r="KBG78" s="278" t="inlineStr"/>
      <c r="KBH78" s="278" t="inlineStr"/>
      <c r="KBI78" s="278" t="inlineStr"/>
      <c r="KBJ78" s="278" t="inlineStr"/>
      <c r="KBK78" s="278" t="inlineStr"/>
      <c r="KBL78" s="278" t="inlineStr"/>
      <c r="KBM78" s="278" t="inlineStr"/>
      <c r="KBN78" s="278" t="inlineStr"/>
      <c r="KBO78" s="278" t="inlineStr"/>
      <c r="KBP78" s="278" t="inlineStr"/>
      <c r="KBQ78" s="278" t="inlineStr"/>
      <c r="KBR78" s="278" t="inlineStr"/>
      <c r="KBS78" s="278" t="inlineStr"/>
      <c r="KBT78" s="278" t="inlineStr"/>
      <c r="KBU78" s="278" t="inlineStr"/>
      <c r="KBV78" s="278" t="inlineStr"/>
      <c r="KBW78" s="278" t="inlineStr"/>
      <c r="KBX78" s="278" t="inlineStr"/>
      <c r="KBY78" s="278" t="inlineStr"/>
      <c r="KBZ78" s="278" t="inlineStr"/>
      <c r="KCA78" s="278" t="inlineStr"/>
      <c r="KCB78" s="278" t="inlineStr"/>
      <c r="KCC78" s="278" t="inlineStr"/>
      <c r="KCD78" s="278" t="inlineStr"/>
      <c r="KCE78" s="278" t="inlineStr"/>
      <c r="KCF78" s="278" t="inlineStr"/>
      <c r="KCG78" s="278" t="inlineStr"/>
      <c r="KCH78" s="278" t="inlineStr"/>
      <c r="KCI78" s="278" t="inlineStr"/>
      <c r="KCJ78" s="278" t="inlineStr"/>
      <c r="KCK78" s="278" t="inlineStr"/>
      <c r="KCL78" s="278" t="inlineStr"/>
      <c r="KCM78" s="278" t="inlineStr"/>
      <c r="KCN78" s="278" t="inlineStr"/>
      <c r="KCO78" s="278" t="inlineStr"/>
      <c r="KCP78" s="278" t="inlineStr"/>
      <c r="KCQ78" s="278" t="inlineStr"/>
      <c r="KCR78" s="278" t="inlineStr"/>
      <c r="KCS78" s="278" t="inlineStr"/>
      <c r="KCT78" s="278" t="inlineStr"/>
      <c r="KCU78" s="278" t="inlineStr"/>
      <c r="KCV78" s="278" t="inlineStr"/>
      <c r="KCW78" s="278" t="inlineStr"/>
      <c r="KCX78" s="278" t="inlineStr"/>
      <c r="KCY78" s="278" t="inlineStr"/>
      <c r="KCZ78" s="278" t="inlineStr"/>
      <c r="KDA78" s="278" t="inlineStr"/>
      <c r="KDB78" s="278" t="inlineStr"/>
      <c r="KDC78" s="278" t="inlineStr"/>
      <c r="KDD78" s="278" t="inlineStr"/>
      <c r="KDE78" s="278" t="inlineStr"/>
      <c r="KDF78" s="278" t="inlineStr"/>
      <c r="KDG78" s="278" t="inlineStr"/>
      <c r="KDH78" s="278" t="inlineStr"/>
      <c r="KDI78" s="278" t="inlineStr"/>
      <c r="KDJ78" s="278" t="inlineStr"/>
      <c r="KDK78" s="278" t="inlineStr"/>
      <c r="KDL78" s="278" t="inlineStr"/>
      <c r="KDM78" s="278" t="inlineStr"/>
      <c r="KDN78" s="278" t="inlineStr"/>
      <c r="KDO78" s="278" t="inlineStr"/>
      <c r="KDP78" s="278" t="inlineStr"/>
      <c r="KDQ78" s="278" t="inlineStr"/>
      <c r="KDR78" s="278" t="inlineStr"/>
      <c r="KDS78" s="278" t="inlineStr"/>
      <c r="KDT78" s="278" t="inlineStr"/>
      <c r="KDU78" s="278" t="inlineStr"/>
      <c r="KDV78" s="278" t="inlineStr"/>
      <c r="KDW78" s="278" t="inlineStr"/>
      <c r="KDX78" s="278" t="inlineStr"/>
      <c r="KDY78" s="278" t="inlineStr"/>
      <c r="KDZ78" s="278" t="inlineStr"/>
      <c r="KEA78" s="278" t="inlineStr"/>
      <c r="KEB78" s="278" t="inlineStr"/>
      <c r="KEC78" s="278" t="inlineStr"/>
      <c r="KED78" s="278" t="inlineStr"/>
      <c r="KEE78" s="278" t="inlineStr"/>
      <c r="KEF78" s="278" t="inlineStr"/>
      <c r="KEG78" s="278" t="inlineStr"/>
      <c r="KEH78" s="278" t="inlineStr"/>
      <c r="KEI78" s="278" t="inlineStr"/>
      <c r="KEJ78" s="278" t="inlineStr"/>
      <c r="KEK78" s="278" t="inlineStr"/>
      <c r="KEL78" s="278" t="inlineStr"/>
      <c r="KEM78" s="278" t="inlineStr"/>
      <c r="KEN78" s="278" t="inlineStr"/>
      <c r="KEO78" s="278" t="inlineStr"/>
      <c r="KEP78" s="278" t="inlineStr"/>
      <c r="KEQ78" s="278" t="inlineStr"/>
      <c r="KER78" s="278" t="inlineStr"/>
      <c r="KES78" s="278" t="inlineStr"/>
      <c r="KET78" s="278" t="inlineStr"/>
      <c r="KEU78" s="278" t="inlineStr"/>
      <c r="KEV78" s="278" t="inlineStr"/>
      <c r="KEW78" s="278" t="inlineStr"/>
      <c r="KEX78" s="278" t="inlineStr"/>
      <c r="KEY78" s="278" t="inlineStr"/>
      <c r="KEZ78" s="278" t="inlineStr"/>
      <c r="KFA78" s="278" t="inlineStr"/>
      <c r="KFB78" s="278" t="inlineStr"/>
      <c r="KFC78" s="278" t="inlineStr"/>
      <c r="KFD78" s="278" t="inlineStr"/>
      <c r="KFE78" s="278" t="inlineStr"/>
      <c r="KFF78" s="278" t="inlineStr"/>
      <c r="KFG78" s="278" t="inlineStr"/>
      <c r="KFH78" s="278" t="inlineStr"/>
      <c r="KFI78" s="278" t="inlineStr"/>
      <c r="KFJ78" s="278" t="inlineStr"/>
      <c r="KFK78" s="278" t="inlineStr"/>
      <c r="KFL78" s="278" t="inlineStr"/>
      <c r="KFM78" s="278" t="inlineStr"/>
      <c r="KFN78" s="278" t="inlineStr"/>
      <c r="KFO78" s="278" t="inlineStr"/>
      <c r="KFP78" s="278" t="inlineStr"/>
      <c r="KFQ78" s="278" t="inlineStr"/>
      <c r="KFR78" s="278" t="inlineStr"/>
      <c r="KFS78" s="278" t="inlineStr"/>
      <c r="KFT78" s="278" t="inlineStr"/>
      <c r="KFU78" s="278" t="inlineStr"/>
      <c r="KFV78" s="278" t="inlineStr"/>
      <c r="KFW78" s="278" t="inlineStr"/>
      <c r="KFX78" s="278" t="inlineStr"/>
      <c r="KFY78" s="278" t="inlineStr"/>
      <c r="KFZ78" s="278" t="inlineStr"/>
      <c r="KGA78" s="278" t="inlineStr"/>
      <c r="KGB78" s="278" t="inlineStr"/>
      <c r="KGC78" s="278" t="inlineStr"/>
      <c r="KGD78" s="278" t="inlineStr"/>
      <c r="KGE78" s="278" t="inlineStr"/>
      <c r="KGF78" s="278" t="inlineStr"/>
      <c r="KGG78" s="278" t="inlineStr"/>
      <c r="KGH78" s="278" t="inlineStr"/>
      <c r="KGI78" s="278" t="inlineStr"/>
      <c r="KGJ78" s="278" t="inlineStr"/>
      <c r="KGK78" s="278" t="inlineStr"/>
      <c r="KGL78" s="278" t="inlineStr"/>
      <c r="KGM78" s="278" t="inlineStr"/>
      <c r="KGN78" s="278" t="inlineStr"/>
      <c r="KGO78" s="278" t="inlineStr"/>
      <c r="KGP78" s="278" t="inlineStr"/>
      <c r="KGQ78" s="278" t="inlineStr"/>
      <c r="KGR78" s="278" t="inlineStr"/>
      <c r="KGS78" s="278" t="inlineStr"/>
      <c r="KGT78" s="278" t="inlineStr"/>
      <c r="KGU78" s="278" t="inlineStr"/>
      <c r="KGV78" s="278" t="inlineStr"/>
      <c r="KGW78" s="278" t="inlineStr"/>
      <c r="KGX78" s="278" t="inlineStr"/>
      <c r="KGY78" s="278" t="inlineStr"/>
      <c r="KGZ78" s="278" t="inlineStr"/>
      <c r="KHA78" s="278" t="inlineStr"/>
      <c r="KHB78" s="278" t="inlineStr"/>
      <c r="KHC78" s="278" t="inlineStr"/>
      <c r="KHD78" s="278" t="inlineStr"/>
      <c r="KHE78" s="278" t="inlineStr"/>
      <c r="KHF78" s="278" t="inlineStr"/>
      <c r="KHG78" s="278" t="inlineStr"/>
      <c r="KHH78" s="278" t="inlineStr"/>
      <c r="KHI78" s="278" t="inlineStr"/>
      <c r="KHJ78" s="278" t="inlineStr"/>
      <c r="KHK78" s="278" t="inlineStr"/>
      <c r="KHL78" s="278" t="inlineStr"/>
      <c r="KHM78" s="278" t="inlineStr"/>
      <c r="KHN78" s="278" t="inlineStr"/>
      <c r="KHO78" s="278" t="inlineStr"/>
      <c r="KHP78" s="278" t="inlineStr"/>
      <c r="KHQ78" s="278" t="inlineStr"/>
      <c r="KHR78" s="278" t="inlineStr"/>
      <c r="KHS78" s="278" t="inlineStr"/>
      <c r="KHT78" s="278" t="inlineStr"/>
      <c r="KHU78" s="278" t="inlineStr"/>
      <c r="KHV78" s="278" t="inlineStr"/>
      <c r="KHW78" s="278" t="inlineStr"/>
      <c r="KHX78" s="278" t="inlineStr"/>
      <c r="KHY78" s="278" t="inlineStr"/>
      <c r="KHZ78" s="278" t="inlineStr"/>
      <c r="KIA78" s="278" t="inlineStr"/>
      <c r="KIB78" s="278" t="inlineStr"/>
      <c r="KIC78" s="278" t="inlineStr"/>
      <c r="KID78" s="278" t="inlineStr"/>
      <c r="KIE78" s="278" t="inlineStr"/>
      <c r="KIF78" s="278" t="inlineStr"/>
      <c r="KIG78" s="278" t="inlineStr"/>
      <c r="KIH78" s="278" t="inlineStr"/>
      <c r="KII78" s="278" t="inlineStr"/>
      <c r="KIJ78" s="278" t="inlineStr"/>
      <c r="KIK78" s="278" t="inlineStr"/>
      <c r="KIL78" s="278" t="inlineStr"/>
      <c r="KIM78" s="278" t="inlineStr"/>
      <c r="KIN78" s="278" t="inlineStr"/>
      <c r="KIO78" s="278" t="inlineStr"/>
      <c r="KIP78" s="278" t="inlineStr"/>
      <c r="KIQ78" s="278" t="inlineStr"/>
      <c r="KIR78" s="278" t="inlineStr"/>
      <c r="KIS78" s="278" t="inlineStr"/>
      <c r="KIT78" s="278" t="inlineStr"/>
      <c r="KIU78" s="278" t="inlineStr"/>
      <c r="KIV78" s="278" t="inlineStr"/>
      <c r="KIW78" s="278" t="inlineStr"/>
      <c r="KIX78" s="278" t="inlineStr"/>
      <c r="KIY78" s="278" t="inlineStr"/>
      <c r="KIZ78" s="278" t="inlineStr"/>
      <c r="KJA78" s="278" t="inlineStr"/>
      <c r="KJB78" s="278" t="inlineStr"/>
      <c r="KJC78" s="278" t="inlineStr"/>
      <c r="KJD78" s="278" t="inlineStr"/>
      <c r="KJE78" s="278" t="inlineStr"/>
      <c r="KJF78" s="278" t="inlineStr"/>
      <c r="KJG78" s="278" t="inlineStr"/>
      <c r="KJH78" s="278" t="inlineStr"/>
      <c r="KJI78" s="278" t="inlineStr"/>
      <c r="KJJ78" s="278" t="inlineStr"/>
      <c r="KJK78" s="278" t="inlineStr"/>
      <c r="KJL78" s="278" t="inlineStr"/>
      <c r="KJM78" s="278" t="inlineStr"/>
      <c r="KJN78" s="278" t="inlineStr"/>
      <c r="KJO78" s="278" t="inlineStr"/>
      <c r="KJP78" s="278" t="inlineStr"/>
      <c r="KJQ78" s="278" t="inlineStr"/>
      <c r="KJR78" s="278" t="inlineStr"/>
      <c r="KJS78" s="278" t="inlineStr"/>
      <c r="KJT78" s="278" t="inlineStr"/>
      <c r="KJU78" s="278" t="inlineStr"/>
      <c r="KJV78" s="278" t="inlineStr"/>
      <c r="KJW78" s="278" t="inlineStr"/>
      <c r="KJX78" s="278" t="inlineStr"/>
      <c r="KJY78" s="278" t="inlineStr"/>
      <c r="KJZ78" s="278" t="inlineStr"/>
      <c r="KKA78" s="278" t="inlineStr"/>
      <c r="KKB78" s="278" t="inlineStr"/>
      <c r="KKC78" s="278" t="inlineStr"/>
      <c r="KKD78" s="278" t="inlineStr"/>
      <c r="KKE78" s="278" t="inlineStr"/>
      <c r="KKF78" s="278" t="inlineStr"/>
      <c r="KKG78" s="278" t="inlineStr"/>
      <c r="KKH78" s="278" t="inlineStr"/>
      <c r="KKI78" s="278" t="inlineStr"/>
      <c r="KKJ78" s="278" t="inlineStr"/>
      <c r="KKK78" s="278" t="inlineStr"/>
      <c r="KKL78" s="278" t="inlineStr"/>
      <c r="KKM78" s="278" t="inlineStr"/>
      <c r="KKN78" s="278" t="inlineStr"/>
      <c r="KKO78" s="278" t="inlineStr"/>
      <c r="KKP78" s="278" t="inlineStr"/>
      <c r="KKQ78" s="278" t="inlineStr"/>
      <c r="KKR78" s="278" t="inlineStr"/>
      <c r="KKS78" s="278" t="inlineStr"/>
      <c r="KKT78" s="278" t="inlineStr"/>
      <c r="KKU78" s="278" t="inlineStr"/>
      <c r="KKV78" s="278" t="inlineStr"/>
      <c r="KKW78" s="278" t="inlineStr"/>
      <c r="KKX78" s="278" t="inlineStr"/>
      <c r="KKY78" s="278" t="inlineStr"/>
      <c r="KKZ78" s="278" t="inlineStr"/>
      <c r="KLA78" s="278" t="inlineStr"/>
      <c r="KLB78" s="278" t="inlineStr"/>
      <c r="KLC78" s="278" t="inlineStr"/>
      <c r="KLD78" s="278" t="inlineStr"/>
      <c r="KLE78" s="278" t="inlineStr"/>
      <c r="KLF78" s="278" t="inlineStr"/>
      <c r="KLG78" s="278" t="inlineStr"/>
      <c r="KLH78" s="278" t="inlineStr"/>
      <c r="KLI78" s="278" t="inlineStr"/>
      <c r="KLJ78" s="278" t="inlineStr"/>
      <c r="KLK78" s="278" t="inlineStr"/>
      <c r="KLL78" s="278" t="inlineStr"/>
      <c r="KLM78" s="278" t="inlineStr"/>
      <c r="KLN78" s="278" t="inlineStr"/>
      <c r="KLO78" s="278" t="inlineStr"/>
      <c r="KLP78" s="278" t="inlineStr"/>
      <c r="KLQ78" s="278" t="inlineStr"/>
      <c r="KLR78" s="278" t="inlineStr"/>
      <c r="KLS78" s="278" t="inlineStr"/>
      <c r="KLT78" s="278" t="inlineStr"/>
      <c r="KLU78" s="278" t="inlineStr"/>
      <c r="KLV78" s="278" t="inlineStr"/>
      <c r="KLW78" s="278" t="inlineStr"/>
      <c r="KLX78" s="278" t="inlineStr"/>
      <c r="KLY78" s="278" t="inlineStr"/>
      <c r="KLZ78" s="278" t="inlineStr"/>
      <c r="KMA78" s="278" t="inlineStr"/>
      <c r="KMB78" s="278" t="inlineStr"/>
      <c r="KMC78" s="278" t="inlineStr"/>
      <c r="KMD78" s="278" t="inlineStr"/>
      <c r="KME78" s="278" t="inlineStr"/>
      <c r="KMF78" s="278" t="inlineStr"/>
      <c r="KMG78" s="278" t="inlineStr"/>
      <c r="KMH78" s="278" t="inlineStr"/>
      <c r="KMI78" s="278" t="inlineStr"/>
      <c r="KMJ78" s="278" t="inlineStr"/>
      <c r="KMK78" s="278" t="inlineStr"/>
      <c r="KML78" s="278" t="inlineStr"/>
      <c r="KMM78" s="278" t="inlineStr"/>
      <c r="KMN78" s="278" t="inlineStr"/>
      <c r="KMO78" s="278" t="inlineStr"/>
      <c r="KMP78" s="278" t="inlineStr"/>
      <c r="KMQ78" s="278" t="inlineStr"/>
      <c r="KMR78" s="278" t="inlineStr"/>
      <c r="KMS78" s="278" t="inlineStr"/>
      <c r="KMT78" s="278" t="inlineStr"/>
      <c r="KMU78" s="278" t="inlineStr"/>
      <c r="KMV78" s="278" t="inlineStr"/>
      <c r="KMW78" s="278" t="inlineStr"/>
      <c r="KMX78" s="278" t="inlineStr"/>
      <c r="KMY78" s="278" t="inlineStr"/>
      <c r="KMZ78" s="278" t="inlineStr"/>
      <c r="KNA78" s="278" t="inlineStr"/>
      <c r="KNB78" s="278" t="inlineStr"/>
      <c r="KNC78" s="278" t="inlineStr"/>
      <c r="KND78" s="278" t="inlineStr"/>
      <c r="KNE78" s="278" t="inlineStr"/>
      <c r="KNF78" s="278" t="inlineStr"/>
      <c r="KNG78" s="278" t="inlineStr"/>
      <c r="KNH78" s="278" t="inlineStr"/>
      <c r="KNI78" s="278" t="inlineStr"/>
      <c r="KNJ78" s="278" t="inlineStr"/>
      <c r="KNK78" s="278" t="inlineStr"/>
      <c r="KNL78" s="278" t="inlineStr"/>
      <c r="KNM78" s="278" t="inlineStr"/>
      <c r="KNN78" s="278" t="inlineStr"/>
      <c r="KNO78" s="278" t="inlineStr"/>
      <c r="KNP78" s="278" t="inlineStr"/>
      <c r="KNQ78" s="278" t="inlineStr"/>
      <c r="KNR78" s="278" t="inlineStr"/>
      <c r="KNS78" s="278" t="inlineStr"/>
      <c r="KNT78" s="278" t="inlineStr"/>
      <c r="KNU78" s="278" t="inlineStr"/>
      <c r="KNV78" s="278" t="inlineStr"/>
      <c r="KNW78" s="278" t="inlineStr"/>
      <c r="KNX78" s="278" t="inlineStr"/>
      <c r="KNY78" s="278" t="inlineStr"/>
      <c r="KNZ78" s="278" t="inlineStr"/>
      <c r="KOA78" s="278" t="inlineStr"/>
      <c r="KOB78" s="278" t="inlineStr"/>
      <c r="KOC78" s="278" t="inlineStr"/>
      <c r="KOD78" s="278" t="inlineStr"/>
      <c r="KOE78" s="278" t="inlineStr"/>
      <c r="KOF78" s="278" t="inlineStr"/>
      <c r="KOG78" s="278" t="inlineStr"/>
      <c r="KOH78" s="278" t="inlineStr"/>
      <c r="KOI78" s="278" t="inlineStr"/>
      <c r="KOJ78" s="278" t="inlineStr"/>
      <c r="KOK78" s="278" t="inlineStr"/>
      <c r="KOL78" s="278" t="inlineStr"/>
      <c r="KOM78" s="278" t="inlineStr"/>
      <c r="KON78" s="278" t="inlineStr"/>
      <c r="KOO78" s="278" t="inlineStr"/>
      <c r="KOP78" s="278" t="inlineStr"/>
      <c r="KOQ78" s="278" t="inlineStr"/>
      <c r="KOR78" s="278" t="inlineStr"/>
      <c r="KOS78" s="278" t="inlineStr"/>
      <c r="KOT78" s="278" t="inlineStr"/>
      <c r="KOU78" s="278" t="inlineStr"/>
      <c r="KOV78" s="278" t="inlineStr"/>
      <c r="KOW78" s="278" t="inlineStr"/>
      <c r="KOX78" s="278" t="inlineStr"/>
      <c r="KOY78" s="278" t="inlineStr"/>
      <c r="KOZ78" s="278" t="inlineStr"/>
      <c r="KPA78" s="278" t="inlineStr"/>
      <c r="KPB78" s="278" t="inlineStr"/>
      <c r="KPC78" s="278" t="inlineStr"/>
      <c r="KPD78" s="278" t="inlineStr"/>
      <c r="KPE78" s="278" t="inlineStr"/>
      <c r="KPF78" s="278" t="inlineStr"/>
      <c r="KPG78" s="278" t="inlineStr"/>
      <c r="KPH78" s="278" t="inlineStr"/>
      <c r="KPI78" s="278" t="inlineStr"/>
      <c r="KPJ78" s="278" t="inlineStr"/>
      <c r="KPK78" s="278" t="inlineStr"/>
      <c r="KPL78" s="278" t="inlineStr"/>
      <c r="KPM78" s="278" t="inlineStr"/>
      <c r="KPN78" s="278" t="inlineStr"/>
      <c r="KPO78" s="278" t="inlineStr"/>
      <c r="KPP78" s="278" t="inlineStr"/>
      <c r="KPQ78" s="278" t="inlineStr"/>
      <c r="KPR78" s="278" t="inlineStr"/>
      <c r="KPS78" s="278" t="inlineStr"/>
      <c r="KPT78" s="278" t="inlineStr"/>
      <c r="KPU78" s="278" t="inlineStr"/>
      <c r="KPV78" s="278" t="inlineStr"/>
      <c r="KPW78" s="278" t="inlineStr"/>
      <c r="KPX78" s="278" t="inlineStr"/>
      <c r="KPY78" s="278" t="inlineStr"/>
      <c r="KPZ78" s="278" t="inlineStr"/>
      <c r="KQA78" s="278" t="inlineStr"/>
      <c r="KQB78" s="278" t="inlineStr"/>
      <c r="KQC78" s="278" t="inlineStr"/>
      <c r="KQD78" s="278" t="inlineStr"/>
      <c r="KQE78" s="278" t="inlineStr"/>
      <c r="KQF78" s="278" t="inlineStr"/>
      <c r="KQG78" s="278" t="inlineStr"/>
      <c r="KQH78" s="278" t="inlineStr"/>
      <c r="KQI78" s="278" t="inlineStr"/>
      <c r="KQJ78" s="278" t="inlineStr"/>
      <c r="KQK78" s="278" t="inlineStr"/>
      <c r="KQL78" s="278" t="inlineStr"/>
      <c r="KQM78" s="278" t="inlineStr"/>
      <c r="KQN78" s="278" t="inlineStr"/>
      <c r="KQO78" s="278" t="inlineStr"/>
      <c r="KQP78" s="278" t="inlineStr"/>
      <c r="KQQ78" s="278" t="inlineStr"/>
      <c r="KQR78" s="278" t="inlineStr"/>
      <c r="KQS78" s="278" t="inlineStr"/>
      <c r="KQT78" s="278" t="inlineStr"/>
      <c r="KQU78" s="278" t="inlineStr"/>
      <c r="KQV78" s="278" t="inlineStr"/>
      <c r="KQW78" s="278" t="inlineStr"/>
      <c r="KQX78" s="278" t="inlineStr"/>
      <c r="KQY78" s="278" t="inlineStr"/>
      <c r="KQZ78" s="278" t="inlineStr"/>
      <c r="KRA78" s="278" t="inlineStr"/>
      <c r="KRB78" s="278" t="inlineStr"/>
      <c r="KRC78" s="278" t="inlineStr"/>
      <c r="KRD78" s="278" t="inlineStr"/>
      <c r="KRE78" s="278" t="inlineStr"/>
      <c r="KRF78" s="278" t="inlineStr"/>
      <c r="KRG78" s="278" t="inlineStr"/>
      <c r="KRH78" s="278" t="inlineStr"/>
      <c r="KRI78" s="278" t="inlineStr"/>
      <c r="KRJ78" s="278" t="inlineStr"/>
      <c r="KRK78" s="278" t="inlineStr"/>
      <c r="KRL78" s="278" t="inlineStr"/>
      <c r="KRM78" s="278" t="inlineStr"/>
      <c r="KRN78" s="278" t="inlineStr"/>
      <c r="KRO78" s="278" t="inlineStr"/>
      <c r="KRP78" s="278" t="inlineStr"/>
      <c r="KRQ78" s="278" t="inlineStr"/>
      <c r="KRR78" s="278" t="inlineStr"/>
      <c r="KRS78" s="278" t="inlineStr"/>
      <c r="KRT78" s="278" t="inlineStr"/>
      <c r="KRU78" s="278" t="inlineStr"/>
      <c r="KRV78" s="278" t="inlineStr"/>
      <c r="KRW78" s="278" t="inlineStr"/>
      <c r="KRX78" s="278" t="inlineStr"/>
      <c r="KRY78" s="278" t="inlineStr"/>
      <c r="KRZ78" s="278" t="inlineStr"/>
      <c r="KSA78" s="278" t="inlineStr"/>
      <c r="KSB78" s="278" t="inlineStr"/>
      <c r="KSC78" s="278" t="inlineStr"/>
      <c r="KSD78" s="278" t="inlineStr"/>
      <c r="KSE78" s="278" t="inlineStr"/>
      <c r="KSF78" s="278" t="inlineStr"/>
      <c r="KSG78" s="278" t="inlineStr"/>
      <c r="KSH78" s="278" t="inlineStr"/>
      <c r="KSI78" s="278" t="inlineStr"/>
      <c r="KSJ78" s="278" t="inlineStr"/>
      <c r="KSK78" s="278" t="inlineStr"/>
      <c r="KSL78" s="278" t="inlineStr"/>
      <c r="KSM78" s="278" t="inlineStr"/>
      <c r="KSN78" s="278" t="inlineStr"/>
      <c r="KSO78" s="278" t="inlineStr"/>
      <c r="KSP78" s="278" t="inlineStr"/>
      <c r="KSQ78" s="278" t="inlineStr"/>
      <c r="KSR78" s="278" t="inlineStr"/>
      <c r="KSS78" s="278" t="inlineStr"/>
      <c r="KST78" s="278" t="inlineStr"/>
      <c r="KSU78" s="278" t="inlineStr"/>
      <c r="KSV78" s="278" t="inlineStr"/>
      <c r="KSW78" s="278" t="inlineStr"/>
      <c r="KSX78" s="278" t="inlineStr"/>
      <c r="KSY78" s="278" t="inlineStr"/>
      <c r="KSZ78" s="278" t="inlineStr"/>
      <c r="KTA78" s="278" t="inlineStr"/>
      <c r="KTB78" s="278" t="inlineStr"/>
      <c r="KTC78" s="278" t="inlineStr"/>
      <c r="KTD78" s="278" t="inlineStr"/>
      <c r="KTE78" s="278" t="inlineStr"/>
      <c r="KTF78" s="278" t="inlineStr"/>
      <c r="KTG78" s="278" t="inlineStr"/>
      <c r="KTH78" s="278" t="inlineStr"/>
      <c r="KTI78" s="278" t="inlineStr"/>
      <c r="KTJ78" s="278" t="inlineStr"/>
      <c r="KTK78" s="278" t="inlineStr"/>
      <c r="KTL78" s="278" t="inlineStr"/>
      <c r="KTM78" s="278" t="inlineStr"/>
      <c r="KTN78" s="278" t="inlineStr"/>
      <c r="KTO78" s="278" t="inlineStr"/>
      <c r="KTP78" s="278" t="inlineStr"/>
      <c r="KTQ78" s="278" t="inlineStr"/>
      <c r="KTR78" s="278" t="inlineStr"/>
      <c r="KTS78" s="278" t="inlineStr"/>
      <c r="KTT78" s="278" t="inlineStr"/>
      <c r="KTU78" s="278" t="inlineStr"/>
      <c r="KTV78" s="278" t="inlineStr"/>
      <c r="KTW78" s="278" t="inlineStr"/>
      <c r="KTX78" s="278" t="inlineStr"/>
      <c r="KTY78" s="278" t="inlineStr"/>
      <c r="KTZ78" s="278" t="inlineStr"/>
      <c r="KUA78" s="278" t="inlineStr"/>
      <c r="KUB78" s="278" t="inlineStr"/>
      <c r="KUC78" s="278" t="inlineStr"/>
      <c r="KUD78" s="278" t="inlineStr"/>
      <c r="KUE78" s="278" t="inlineStr"/>
      <c r="KUF78" s="278" t="inlineStr"/>
      <c r="KUG78" s="278" t="inlineStr"/>
      <c r="KUH78" s="278" t="inlineStr"/>
      <c r="KUI78" s="278" t="inlineStr"/>
      <c r="KUJ78" s="278" t="inlineStr"/>
      <c r="KUK78" s="278" t="inlineStr"/>
      <c r="KUL78" s="278" t="inlineStr"/>
      <c r="KUM78" s="278" t="inlineStr"/>
      <c r="KUN78" s="278" t="inlineStr"/>
      <c r="KUO78" s="278" t="inlineStr"/>
      <c r="KUP78" s="278" t="inlineStr"/>
      <c r="KUQ78" s="278" t="inlineStr"/>
      <c r="KUR78" s="278" t="inlineStr"/>
      <c r="KUS78" s="278" t="inlineStr"/>
      <c r="KUT78" s="278" t="inlineStr"/>
      <c r="KUU78" s="278" t="inlineStr"/>
      <c r="KUV78" s="278" t="inlineStr"/>
      <c r="KUW78" s="278" t="inlineStr"/>
      <c r="KUX78" s="278" t="inlineStr"/>
      <c r="KUY78" s="278" t="inlineStr"/>
      <c r="KUZ78" s="278" t="inlineStr"/>
      <c r="KVA78" s="278" t="inlineStr"/>
      <c r="KVB78" s="278" t="inlineStr"/>
      <c r="KVC78" s="278" t="inlineStr"/>
      <c r="KVD78" s="278" t="inlineStr"/>
      <c r="KVE78" s="278" t="inlineStr"/>
      <c r="KVF78" s="278" t="inlineStr"/>
      <c r="KVG78" s="278" t="inlineStr"/>
      <c r="KVH78" s="278" t="inlineStr"/>
      <c r="KVI78" s="278" t="inlineStr"/>
      <c r="KVJ78" s="278" t="inlineStr"/>
      <c r="KVK78" s="278" t="inlineStr"/>
      <c r="KVL78" s="278" t="inlineStr"/>
      <c r="KVM78" s="278" t="inlineStr"/>
      <c r="KVN78" s="278" t="inlineStr"/>
      <c r="KVO78" s="278" t="inlineStr"/>
      <c r="KVP78" s="278" t="inlineStr"/>
      <c r="KVQ78" s="278" t="inlineStr"/>
      <c r="KVR78" s="278" t="inlineStr"/>
      <c r="KVS78" s="278" t="inlineStr"/>
      <c r="KVT78" s="278" t="inlineStr"/>
      <c r="KVU78" s="278" t="inlineStr"/>
      <c r="KVV78" s="278" t="inlineStr"/>
      <c r="KVW78" s="278" t="inlineStr"/>
      <c r="KVX78" s="278" t="inlineStr"/>
      <c r="KVY78" s="278" t="inlineStr"/>
      <c r="KVZ78" s="278" t="inlineStr"/>
      <c r="KWA78" s="278" t="inlineStr"/>
      <c r="KWB78" s="278" t="inlineStr"/>
      <c r="KWC78" s="278" t="inlineStr"/>
      <c r="KWD78" s="278" t="inlineStr"/>
      <c r="KWE78" s="278" t="inlineStr"/>
      <c r="KWF78" s="278" t="inlineStr"/>
      <c r="KWG78" s="278" t="inlineStr"/>
      <c r="KWH78" s="278" t="inlineStr"/>
      <c r="KWI78" s="278" t="inlineStr"/>
      <c r="KWJ78" s="278" t="inlineStr"/>
      <c r="KWK78" s="278" t="inlineStr"/>
      <c r="KWL78" s="278" t="inlineStr"/>
      <c r="KWM78" s="278" t="inlineStr"/>
      <c r="KWN78" s="278" t="inlineStr"/>
      <c r="KWO78" s="278" t="inlineStr"/>
      <c r="KWP78" s="278" t="inlineStr"/>
      <c r="KWQ78" s="278" t="inlineStr"/>
      <c r="KWR78" s="278" t="inlineStr"/>
      <c r="KWS78" s="278" t="inlineStr"/>
      <c r="KWT78" s="278" t="inlineStr"/>
      <c r="KWU78" s="278" t="inlineStr"/>
      <c r="KWV78" s="278" t="inlineStr"/>
      <c r="KWW78" s="278" t="inlineStr"/>
      <c r="KWX78" s="278" t="inlineStr"/>
      <c r="KWY78" s="278" t="inlineStr"/>
      <c r="KWZ78" s="278" t="inlineStr"/>
      <c r="KXA78" s="278" t="inlineStr"/>
      <c r="KXB78" s="278" t="inlineStr"/>
      <c r="KXC78" s="278" t="inlineStr"/>
      <c r="KXD78" s="278" t="inlineStr"/>
      <c r="KXE78" s="278" t="inlineStr"/>
      <c r="KXF78" s="278" t="inlineStr"/>
      <c r="KXG78" s="278" t="inlineStr"/>
      <c r="KXH78" s="278" t="inlineStr"/>
      <c r="KXI78" s="278" t="inlineStr"/>
      <c r="KXJ78" s="278" t="inlineStr"/>
      <c r="KXK78" s="278" t="inlineStr"/>
      <c r="KXL78" s="278" t="inlineStr"/>
      <c r="KXM78" s="278" t="inlineStr"/>
      <c r="KXN78" s="278" t="inlineStr"/>
      <c r="KXO78" s="278" t="inlineStr"/>
      <c r="KXP78" s="278" t="inlineStr"/>
      <c r="KXQ78" s="278" t="inlineStr"/>
      <c r="KXR78" s="278" t="inlineStr"/>
      <c r="KXS78" s="278" t="inlineStr"/>
      <c r="KXT78" s="278" t="inlineStr"/>
      <c r="KXU78" s="278" t="inlineStr"/>
      <c r="KXV78" s="278" t="inlineStr"/>
      <c r="KXW78" s="278" t="inlineStr"/>
      <c r="KXX78" s="278" t="inlineStr"/>
      <c r="KXY78" s="278" t="inlineStr"/>
      <c r="KXZ78" s="278" t="inlineStr"/>
      <c r="KYA78" s="278" t="inlineStr"/>
      <c r="KYB78" s="278" t="inlineStr"/>
      <c r="KYC78" s="278" t="inlineStr"/>
      <c r="KYD78" s="278" t="inlineStr"/>
      <c r="KYE78" s="278" t="inlineStr"/>
      <c r="KYF78" s="278" t="inlineStr"/>
      <c r="KYG78" s="278" t="inlineStr"/>
      <c r="KYH78" s="278" t="inlineStr"/>
      <c r="KYI78" s="278" t="inlineStr"/>
      <c r="KYJ78" s="278" t="inlineStr"/>
      <c r="KYK78" s="278" t="inlineStr"/>
      <c r="KYL78" s="278" t="inlineStr"/>
      <c r="KYM78" s="278" t="inlineStr"/>
      <c r="KYN78" s="278" t="inlineStr"/>
      <c r="KYO78" s="278" t="inlineStr"/>
      <c r="KYP78" s="278" t="inlineStr"/>
      <c r="KYQ78" s="278" t="inlineStr"/>
      <c r="KYR78" s="278" t="inlineStr"/>
      <c r="KYS78" s="278" t="inlineStr"/>
      <c r="KYT78" s="278" t="inlineStr"/>
      <c r="KYU78" s="278" t="inlineStr"/>
      <c r="KYV78" s="278" t="inlineStr"/>
      <c r="KYW78" s="278" t="inlineStr"/>
      <c r="KYX78" s="278" t="inlineStr"/>
      <c r="KYY78" s="278" t="inlineStr"/>
      <c r="KYZ78" s="278" t="inlineStr"/>
      <c r="KZA78" s="278" t="inlineStr"/>
      <c r="KZB78" s="278" t="inlineStr"/>
      <c r="KZC78" s="278" t="inlineStr"/>
      <c r="KZD78" s="278" t="inlineStr"/>
      <c r="KZE78" s="278" t="inlineStr"/>
      <c r="KZF78" s="278" t="inlineStr"/>
      <c r="KZG78" s="278" t="inlineStr"/>
      <c r="KZH78" s="278" t="inlineStr"/>
      <c r="KZI78" s="278" t="inlineStr"/>
      <c r="KZJ78" s="278" t="inlineStr"/>
      <c r="KZK78" s="278" t="inlineStr"/>
      <c r="KZL78" s="278" t="inlineStr"/>
      <c r="KZM78" s="278" t="inlineStr"/>
      <c r="KZN78" s="278" t="inlineStr"/>
      <c r="KZO78" s="278" t="inlineStr"/>
      <c r="KZP78" s="278" t="inlineStr"/>
      <c r="KZQ78" s="278" t="inlineStr"/>
      <c r="KZR78" s="278" t="inlineStr"/>
      <c r="KZS78" s="278" t="inlineStr"/>
      <c r="KZT78" s="278" t="inlineStr"/>
      <c r="KZU78" s="278" t="inlineStr"/>
      <c r="KZV78" s="278" t="inlineStr"/>
      <c r="KZW78" s="278" t="inlineStr"/>
      <c r="KZX78" s="278" t="inlineStr"/>
      <c r="KZY78" s="278" t="inlineStr"/>
      <c r="KZZ78" s="278" t="inlineStr"/>
      <c r="LAA78" s="278" t="inlineStr"/>
      <c r="LAB78" s="278" t="inlineStr"/>
      <c r="LAC78" s="278" t="inlineStr"/>
      <c r="LAD78" s="278" t="inlineStr"/>
      <c r="LAE78" s="278" t="inlineStr"/>
      <c r="LAF78" s="278" t="inlineStr"/>
      <c r="LAG78" s="278" t="inlineStr"/>
      <c r="LAH78" s="278" t="inlineStr"/>
      <c r="LAI78" s="278" t="inlineStr"/>
      <c r="LAJ78" s="278" t="inlineStr"/>
      <c r="LAK78" s="278" t="inlineStr"/>
      <c r="LAL78" s="278" t="inlineStr"/>
      <c r="LAM78" s="278" t="inlineStr"/>
      <c r="LAN78" s="278" t="inlineStr"/>
      <c r="LAO78" s="278" t="inlineStr"/>
      <c r="LAP78" s="278" t="inlineStr"/>
      <c r="LAQ78" s="278" t="inlineStr"/>
      <c r="LAR78" s="278" t="inlineStr"/>
      <c r="LAS78" s="278" t="inlineStr"/>
      <c r="LAT78" s="278" t="inlineStr"/>
      <c r="LAU78" s="278" t="inlineStr"/>
      <c r="LAV78" s="278" t="inlineStr"/>
      <c r="LAW78" s="278" t="inlineStr"/>
      <c r="LAX78" s="278" t="inlineStr"/>
      <c r="LAY78" s="278" t="inlineStr"/>
      <c r="LAZ78" s="278" t="inlineStr"/>
      <c r="LBA78" s="278" t="inlineStr"/>
      <c r="LBB78" s="278" t="inlineStr"/>
      <c r="LBC78" s="278" t="inlineStr"/>
      <c r="LBD78" s="278" t="inlineStr"/>
      <c r="LBE78" s="278" t="inlineStr"/>
      <c r="LBF78" s="278" t="inlineStr"/>
      <c r="LBG78" s="278" t="inlineStr"/>
      <c r="LBH78" s="278" t="inlineStr"/>
      <c r="LBI78" s="278" t="inlineStr"/>
      <c r="LBJ78" s="278" t="inlineStr"/>
      <c r="LBK78" s="278" t="inlineStr"/>
      <c r="LBL78" s="278" t="inlineStr"/>
      <c r="LBM78" s="278" t="inlineStr"/>
      <c r="LBN78" s="278" t="inlineStr"/>
      <c r="LBO78" s="278" t="inlineStr"/>
      <c r="LBP78" s="278" t="inlineStr"/>
      <c r="LBQ78" s="278" t="inlineStr"/>
      <c r="LBR78" s="278" t="inlineStr"/>
      <c r="LBS78" s="278" t="inlineStr"/>
      <c r="LBT78" s="278" t="inlineStr"/>
      <c r="LBU78" s="278" t="inlineStr"/>
      <c r="LBV78" s="278" t="inlineStr"/>
      <c r="LBW78" s="278" t="inlineStr"/>
      <c r="LBX78" s="278" t="inlineStr"/>
      <c r="LBY78" s="278" t="inlineStr"/>
      <c r="LBZ78" s="278" t="inlineStr"/>
      <c r="LCA78" s="278" t="inlineStr"/>
      <c r="LCB78" s="278" t="inlineStr"/>
      <c r="LCC78" s="278" t="inlineStr"/>
      <c r="LCD78" s="278" t="inlineStr"/>
      <c r="LCE78" s="278" t="inlineStr"/>
      <c r="LCF78" s="278" t="inlineStr"/>
      <c r="LCG78" s="278" t="inlineStr"/>
      <c r="LCH78" s="278" t="inlineStr"/>
      <c r="LCI78" s="278" t="inlineStr"/>
      <c r="LCJ78" s="278" t="inlineStr"/>
      <c r="LCK78" s="278" t="inlineStr"/>
      <c r="LCL78" s="278" t="inlineStr"/>
      <c r="LCM78" s="278" t="inlineStr"/>
      <c r="LCN78" s="278" t="inlineStr"/>
      <c r="LCO78" s="278" t="inlineStr"/>
      <c r="LCP78" s="278" t="inlineStr"/>
      <c r="LCQ78" s="278" t="inlineStr"/>
      <c r="LCR78" s="278" t="inlineStr"/>
      <c r="LCS78" s="278" t="inlineStr"/>
      <c r="LCT78" s="278" t="inlineStr"/>
      <c r="LCU78" s="278" t="inlineStr"/>
      <c r="LCV78" s="278" t="inlineStr"/>
      <c r="LCW78" s="278" t="inlineStr"/>
      <c r="LCX78" s="278" t="inlineStr"/>
      <c r="LCY78" s="278" t="inlineStr"/>
      <c r="LCZ78" s="278" t="inlineStr"/>
      <c r="LDA78" s="278" t="inlineStr"/>
      <c r="LDB78" s="278" t="inlineStr"/>
      <c r="LDC78" s="278" t="inlineStr"/>
      <c r="LDD78" s="278" t="inlineStr"/>
      <c r="LDE78" s="278" t="inlineStr"/>
      <c r="LDF78" s="278" t="inlineStr"/>
      <c r="LDG78" s="278" t="inlineStr"/>
      <c r="LDH78" s="278" t="inlineStr"/>
      <c r="LDI78" s="278" t="inlineStr"/>
      <c r="LDJ78" s="278" t="inlineStr"/>
      <c r="LDK78" s="278" t="inlineStr"/>
      <c r="LDL78" s="278" t="inlineStr"/>
      <c r="LDM78" s="278" t="inlineStr"/>
      <c r="LDN78" s="278" t="inlineStr"/>
      <c r="LDO78" s="278" t="inlineStr"/>
      <c r="LDP78" s="278" t="inlineStr"/>
      <c r="LDQ78" s="278" t="inlineStr"/>
      <c r="LDR78" s="278" t="inlineStr"/>
      <c r="LDS78" s="278" t="inlineStr"/>
      <c r="LDT78" s="278" t="inlineStr"/>
      <c r="LDU78" s="278" t="inlineStr"/>
      <c r="LDV78" s="278" t="inlineStr"/>
      <c r="LDW78" s="278" t="inlineStr"/>
      <c r="LDX78" s="278" t="inlineStr"/>
      <c r="LDY78" s="278" t="inlineStr"/>
      <c r="LDZ78" s="278" t="inlineStr"/>
      <c r="LEA78" s="278" t="inlineStr"/>
      <c r="LEB78" s="278" t="inlineStr"/>
      <c r="LEC78" s="278" t="inlineStr"/>
      <c r="LED78" s="278" t="inlineStr"/>
      <c r="LEE78" s="278" t="inlineStr"/>
      <c r="LEF78" s="278" t="inlineStr"/>
      <c r="LEG78" s="278" t="inlineStr"/>
      <c r="LEH78" s="278" t="inlineStr"/>
      <c r="LEI78" s="278" t="inlineStr"/>
      <c r="LEJ78" s="278" t="inlineStr"/>
      <c r="LEK78" s="278" t="inlineStr"/>
      <c r="LEL78" s="278" t="inlineStr"/>
      <c r="LEM78" s="278" t="inlineStr"/>
      <c r="LEN78" s="278" t="inlineStr"/>
      <c r="LEO78" s="278" t="inlineStr"/>
      <c r="LEP78" s="278" t="inlineStr"/>
      <c r="LEQ78" s="278" t="inlineStr"/>
      <c r="LER78" s="278" t="inlineStr"/>
      <c r="LES78" s="278" t="inlineStr"/>
      <c r="LET78" s="278" t="inlineStr"/>
      <c r="LEU78" s="278" t="inlineStr"/>
      <c r="LEV78" s="278" t="inlineStr"/>
      <c r="LEW78" s="278" t="inlineStr"/>
      <c r="LEX78" s="278" t="inlineStr"/>
      <c r="LEY78" s="278" t="inlineStr"/>
      <c r="LEZ78" s="278" t="inlineStr"/>
      <c r="LFA78" s="278" t="inlineStr"/>
      <c r="LFB78" s="278" t="inlineStr"/>
      <c r="LFC78" s="278" t="inlineStr"/>
      <c r="LFD78" s="278" t="inlineStr"/>
      <c r="LFE78" s="278" t="inlineStr"/>
      <c r="LFF78" s="278" t="inlineStr"/>
      <c r="LFG78" s="278" t="inlineStr"/>
      <c r="LFH78" s="278" t="inlineStr"/>
      <c r="LFI78" s="278" t="inlineStr"/>
      <c r="LFJ78" s="278" t="inlineStr"/>
      <c r="LFK78" s="278" t="inlineStr"/>
      <c r="LFL78" s="278" t="inlineStr"/>
      <c r="LFM78" s="278" t="inlineStr"/>
      <c r="LFN78" s="278" t="inlineStr"/>
      <c r="LFO78" s="278" t="inlineStr"/>
      <c r="LFP78" s="278" t="inlineStr"/>
      <c r="LFQ78" s="278" t="inlineStr"/>
      <c r="LFR78" s="278" t="inlineStr"/>
      <c r="LFS78" s="278" t="inlineStr"/>
      <c r="LFT78" s="278" t="inlineStr"/>
      <c r="LFU78" s="278" t="inlineStr"/>
      <c r="LFV78" s="278" t="inlineStr"/>
      <c r="LFW78" s="278" t="inlineStr"/>
      <c r="LFX78" s="278" t="inlineStr"/>
      <c r="LFY78" s="278" t="inlineStr"/>
      <c r="LFZ78" s="278" t="inlineStr"/>
      <c r="LGA78" s="278" t="inlineStr"/>
      <c r="LGB78" s="278" t="inlineStr"/>
      <c r="LGC78" s="278" t="inlineStr"/>
      <c r="LGD78" s="278" t="inlineStr"/>
      <c r="LGE78" s="278" t="inlineStr"/>
      <c r="LGF78" s="278" t="inlineStr"/>
      <c r="LGG78" s="278" t="inlineStr"/>
      <c r="LGH78" s="278" t="inlineStr"/>
      <c r="LGI78" s="278" t="inlineStr"/>
      <c r="LGJ78" s="278" t="inlineStr"/>
      <c r="LGK78" s="278" t="inlineStr"/>
      <c r="LGL78" s="278" t="inlineStr"/>
      <c r="LGM78" s="278" t="inlineStr"/>
      <c r="LGN78" s="278" t="inlineStr"/>
      <c r="LGO78" s="278" t="inlineStr"/>
      <c r="LGP78" s="278" t="inlineStr"/>
      <c r="LGQ78" s="278" t="inlineStr"/>
      <c r="LGR78" s="278" t="inlineStr"/>
      <c r="LGS78" s="278" t="inlineStr"/>
      <c r="LGT78" s="278" t="inlineStr"/>
      <c r="LGU78" s="278" t="inlineStr"/>
      <c r="LGV78" s="278" t="inlineStr"/>
      <c r="LGW78" s="278" t="inlineStr"/>
      <c r="LGX78" s="278" t="inlineStr"/>
      <c r="LGY78" s="278" t="inlineStr"/>
      <c r="LGZ78" s="278" t="inlineStr"/>
      <c r="LHA78" s="278" t="inlineStr"/>
      <c r="LHB78" s="278" t="inlineStr"/>
      <c r="LHC78" s="278" t="inlineStr"/>
      <c r="LHD78" s="278" t="inlineStr"/>
      <c r="LHE78" s="278" t="inlineStr"/>
      <c r="LHF78" s="278" t="inlineStr"/>
      <c r="LHG78" s="278" t="inlineStr"/>
      <c r="LHH78" s="278" t="inlineStr"/>
      <c r="LHI78" s="278" t="inlineStr"/>
      <c r="LHJ78" s="278" t="inlineStr"/>
      <c r="LHK78" s="278" t="inlineStr"/>
      <c r="LHL78" s="278" t="inlineStr"/>
      <c r="LHM78" s="278" t="inlineStr"/>
      <c r="LHN78" s="278" t="inlineStr"/>
      <c r="LHO78" s="278" t="inlineStr"/>
      <c r="LHP78" s="278" t="inlineStr"/>
      <c r="LHQ78" s="278" t="inlineStr"/>
      <c r="LHR78" s="278" t="inlineStr"/>
      <c r="LHS78" s="278" t="inlineStr"/>
      <c r="LHT78" s="278" t="inlineStr"/>
      <c r="LHU78" s="278" t="inlineStr"/>
      <c r="LHV78" s="278" t="inlineStr"/>
      <c r="LHW78" s="278" t="inlineStr"/>
      <c r="LHX78" s="278" t="inlineStr"/>
      <c r="LHY78" s="278" t="inlineStr"/>
      <c r="LHZ78" s="278" t="inlineStr"/>
      <c r="LIA78" s="278" t="inlineStr"/>
      <c r="LIB78" s="278" t="inlineStr"/>
      <c r="LIC78" s="278" t="inlineStr"/>
      <c r="LID78" s="278" t="inlineStr"/>
      <c r="LIE78" s="278" t="inlineStr"/>
      <c r="LIF78" s="278" t="inlineStr"/>
      <c r="LIG78" s="278" t="inlineStr"/>
      <c r="LIH78" s="278" t="inlineStr"/>
      <c r="LII78" s="278" t="inlineStr"/>
      <c r="LIJ78" s="278" t="inlineStr"/>
      <c r="LIK78" s="278" t="inlineStr"/>
      <c r="LIL78" s="278" t="inlineStr"/>
      <c r="LIM78" s="278" t="inlineStr"/>
      <c r="LIN78" s="278" t="inlineStr"/>
      <c r="LIO78" s="278" t="inlineStr"/>
      <c r="LIP78" s="278" t="inlineStr"/>
      <c r="LIQ78" s="278" t="inlineStr"/>
      <c r="LIR78" s="278" t="inlineStr"/>
      <c r="LIS78" s="278" t="inlineStr"/>
      <c r="LIT78" s="278" t="inlineStr"/>
      <c r="LIU78" s="278" t="inlineStr"/>
      <c r="LIV78" s="278" t="inlineStr"/>
      <c r="LIW78" s="278" t="inlineStr"/>
      <c r="LIX78" s="278" t="inlineStr"/>
      <c r="LIY78" s="278" t="inlineStr"/>
      <c r="LIZ78" s="278" t="inlineStr"/>
      <c r="LJA78" s="278" t="inlineStr"/>
      <c r="LJB78" s="278" t="inlineStr"/>
      <c r="LJC78" s="278" t="inlineStr"/>
      <c r="LJD78" s="278" t="inlineStr"/>
      <c r="LJE78" s="278" t="inlineStr"/>
      <c r="LJF78" s="278" t="inlineStr"/>
      <c r="LJG78" s="278" t="inlineStr"/>
      <c r="LJH78" s="278" t="inlineStr"/>
      <c r="LJI78" s="278" t="inlineStr"/>
      <c r="LJJ78" s="278" t="inlineStr"/>
      <c r="LJK78" s="278" t="inlineStr"/>
      <c r="LJL78" s="278" t="inlineStr"/>
      <c r="LJM78" s="278" t="inlineStr"/>
      <c r="LJN78" s="278" t="inlineStr"/>
      <c r="LJO78" s="278" t="inlineStr"/>
      <c r="LJP78" s="278" t="inlineStr"/>
      <c r="LJQ78" s="278" t="inlineStr"/>
      <c r="LJR78" s="278" t="inlineStr"/>
      <c r="LJS78" s="278" t="inlineStr"/>
      <c r="LJT78" s="278" t="inlineStr"/>
      <c r="LJU78" s="278" t="inlineStr"/>
      <c r="LJV78" s="278" t="inlineStr"/>
      <c r="LJW78" s="278" t="inlineStr"/>
      <c r="LJX78" s="278" t="inlineStr"/>
      <c r="LJY78" s="278" t="inlineStr"/>
      <c r="LJZ78" s="278" t="inlineStr"/>
      <c r="LKA78" s="278" t="inlineStr"/>
      <c r="LKB78" s="278" t="inlineStr"/>
      <c r="LKC78" s="278" t="inlineStr"/>
      <c r="LKD78" s="278" t="inlineStr"/>
      <c r="LKE78" s="278" t="inlineStr"/>
      <c r="LKF78" s="278" t="inlineStr"/>
      <c r="LKG78" s="278" t="inlineStr"/>
      <c r="LKH78" s="278" t="inlineStr"/>
      <c r="LKI78" s="278" t="inlineStr"/>
      <c r="LKJ78" s="278" t="inlineStr"/>
      <c r="LKK78" s="278" t="inlineStr"/>
      <c r="LKL78" s="278" t="inlineStr"/>
      <c r="LKM78" s="278" t="inlineStr"/>
      <c r="LKN78" s="278" t="inlineStr"/>
      <c r="LKO78" s="278" t="inlineStr"/>
      <c r="LKP78" s="278" t="inlineStr"/>
      <c r="LKQ78" s="278" t="inlineStr"/>
      <c r="LKR78" s="278" t="inlineStr"/>
      <c r="LKS78" s="278" t="inlineStr"/>
      <c r="LKT78" s="278" t="inlineStr"/>
      <c r="LKU78" s="278" t="inlineStr"/>
      <c r="LKV78" s="278" t="inlineStr"/>
      <c r="LKW78" s="278" t="inlineStr"/>
      <c r="LKX78" s="278" t="inlineStr"/>
      <c r="LKY78" s="278" t="inlineStr"/>
      <c r="LKZ78" s="278" t="inlineStr"/>
      <c r="LLA78" s="278" t="inlineStr"/>
      <c r="LLB78" s="278" t="inlineStr"/>
      <c r="LLC78" s="278" t="inlineStr"/>
      <c r="LLD78" s="278" t="inlineStr"/>
      <c r="LLE78" s="278" t="inlineStr"/>
      <c r="LLF78" s="278" t="inlineStr"/>
      <c r="LLG78" s="278" t="inlineStr"/>
      <c r="LLH78" s="278" t="inlineStr"/>
      <c r="LLI78" s="278" t="inlineStr"/>
      <c r="LLJ78" s="278" t="inlineStr"/>
      <c r="LLK78" s="278" t="inlineStr"/>
      <c r="LLL78" s="278" t="inlineStr"/>
      <c r="LLM78" s="278" t="inlineStr"/>
      <c r="LLN78" s="278" t="inlineStr"/>
      <c r="LLO78" s="278" t="inlineStr"/>
      <c r="LLP78" s="278" t="inlineStr"/>
      <c r="LLQ78" s="278" t="inlineStr"/>
      <c r="LLR78" s="278" t="inlineStr"/>
      <c r="LLS78" s="278" t="inlineStr"/>
      <c r="LLT78" s="278" t="inlineStr"/>
      <c r="LLU78" s="278" t="inlineStr"/>
      <c r="LLV78" s="278" t="inlineStr"/>
      <c r="LLW78" s="278" t="inlineStr"/>
      <c r="LLX78" s="278" t="inlineStr"/>
      <c r="LLY78" s="278" t="inlineStr"/>
      <c r="LLZ78" s="278" t="inlineStr"/>
      <c r="LMA78" s="278" t="inlineStr"/>
      <c r="LMB78" s="278" t="inlineStr"/>
      <c r="LMC78" s="278" t="inlineStr"/>
      <c r="LMD78" s="278" t="inlineStr"/>
      <c r="LME78" s="278" t="inlineStr"/>
      <c r="LMF78" s="278" t="inlineStr"/>
      <c r="LMG78" s="278" t="inlineStr"/>
      <c r="LMH78" s="278" t="inlineStr"/>
      <c r="LMI78" s="278" t="inlineStr"/>
      <c r="LMJ78" s="278" t="inlineStr"/>
      <c r="LMK78" s="278" t="inlineStr"/>
      <c r="LML78" s="278" t="inlineStr"/>
      <c r="LMM78" s="278" t="inlineStr"/>
      <c r="LMN78" s="278" t="inlineStr"/>
      <c r="LMO78" s="278" t="inlineStr"/>
      <c r="LMP78" s="278" t="inlineStr"/>
      <c r="LMQ78" s="278" t="inlineStr"/>
      <c r="LMR78" s="278" t="inlineStr"/>
      <c r="LMS78" s="278" t="inlineStr"/>
      <c r="LMT78" s="278" t="inlineStr"/>
      <c r="LMU78" s="278" t="inlineStr"/>
      <c r="LMV78" s="278" t="inlineStr"/>
      <c r="LMW78" s="278" t="inlineStr"/>
      <c r="LMX78" s="278" t="inlineStr"/>
      <c r="LMY78" s="278" t="inlineStr"/>
      <c r="LMZ78" s="278" t="inlineStr"/>
      <c r="LNA78" s="278" t="inlineStr"/>
      <c r="LNB78" s="278" t="inlineStr"/>
      <c r="LNC78" s="278" t="inlineStr"/>
      <c r="LND78" s="278" t="inlineStr"/>
      <c r="LNE78" s="278" t="inlineStr"/>
      <c r="LNF78" s="278" t="inlineStr"/>
      <c r="LNG78" s="278" t="inlineStr"/>
      <c r="LNH78" s="278" t="inlineStr"/>
      <c r="LNI78" s="278" t="inlineStr"/>
      <c r="LNJ78" s="278" t="inlineStr"/>
      <c r="LNK78" s="278" t="inlineStr"/>
      <c r="LNL78" s="278" t="inlineStr"/>
      <c r="LNM78" s="278" t="inlineStr"/>
      <c r="LNN78" s="278" t="inlineStr"/>
      <c r="LNO78" s="278" t="inlineStr"/>
      <c r="LNP78" s="278" t="inlineStr"/>
      <c r="LNQ78" s="278" t="inlineStr"/>
      <c r="LNR78" s="278" t="inlineStr"/>
      <c r="LNS78" s="278" t="inlineStr"/>
      <c r="LNT78" s="278" t="inlineStr"/>
      <c r="LNU78" s="278" t="inlineStr"/>
      <c r="LNV78" s="278" t="inlineStr"/>
      <c r="LNW78" s="278" t="inlineStr"/>
      <c r="LNX78" s="278" t="inlineStr"/>
      <c r="LNY78" s="278" t="inlineStr"/>
      <c r="LNZ78" s="278" t="inlineStr"/>
      <c r="LOA78" s="278" t="inlineStr"/>
      <c r="LOB78" s="278" t="inlineStr"/>
      <c r="LOC78" s="278" t="inlineStr"/>
      <c r="LOD78" s="278" t="inlineStr"/>
      <c r="LOE78" s="278" t="inlineStr"/>
      <c r="LOF78" s="278" t="inlineStr"/>
      <c r="LOG78" s="278" t="inlineStr"/>
      <c r="LOH78" s="278" t="inlineStr"/>
      <c r="LOI78" s="278" t="inlineStr"/>
      <c r="LOJ78" s="278" t="inlineStr"/>
      <c r="LOK78" s="278" t="inlineStr"/>
      <c r="LOL78" s="278" t="inlineStr"/>
      <c r="LOM78" s="278" t="inlineStr"/>
      <c r="LON78" s="278" t="inlineStr"/>
      <c r="LOO78" s="278" t="inlineStr"/>
      <c r="LOP78" s="278" t="inlineStr"/>
      <c r="LOQ78" s="278" t="inlineStr"/>
      <c r="LOR78" s="278" t="inlineStr"/>
      <c r="LOS78" s="278" t="inlineStr"/>
      <c r="LOT78" s="278" t="inlineStr"/>
      <c r="LOU78" s="278" t="inlineStr"/>
      <c r="LOV78" s="278" t="inlineStr"/>
      <c r="LOW78" s="278" t="inlineStr"/>
      <c r="LOX78" s="278" t="inlineStr"/>
      <c r="LOY78" s="278" t="inlineStr"/>
      <c r="LOZ78" s="278" t="inlineStr"/>
      <c r="LPA78" s="278" t="inlineStr"/>
      <c r="LPB78" s="278" t="inlineStr"/>
      <c r="LPC78" s="278" t="inlineStr"/>
      <c r="LPD78" s="278" t="inlineStr"/>
      <c r="LPE78" s="278" t="inlineStr"/>
      <c r="LPF78" s="278" t="inlineStr"/>
      <c r="LPG78" s="278" t="inlineStr"/>
      <c r="LPH78" s="278" t="inlineStr"/>
      <c r="LPI78" s="278" t="inlineStr"/>
      <c r="LPJ78" s="278" t="inlineStr"/>
      <c r="LPK78" s="278" t="inlineStr"/>
      <c r="LPL78" s="278" t="inlineStr"/>
      <c r="LPM78" s="278" t="inlineStr"/>
      <c r="LPN78" s="278" t="inlineStr"/>
      <c r="LPO78" s="278" t="inlineStr"/>
      <c r="LPP78" s="278" t="inlineStr"/>
      <c r="LPQ78" s="278" t="inlineStr"/>
      <c r="LPR78" s="278" t="inlineStr"/>
      <c r="LPS78" s="278" t="inlineStr"/>
      <c r="LPT78" s="278" t="inlineStr"/>
      <c r="LPU78" s="278" t="inlineStr"/>
      <c r="LPV78" s="278" t="inlineStr"/>
      <c r="LPW78" s="278" t="inlineStr"/>
      <c r="LPX78" s="278" t="inlineStr"/>
      <c r="LPY78" s="278" t="inlineStr"/>
      <c r="LPZ78" s="278" t="inlineStr"/>
      <c r="LQA78" s="278" t="inlineStr"/>
      <c r="LQB78" s="278" t="inlineStr"/>
      <c r="LQC78" s="278" t="inlineStr"/>
      <c r="LQD78" s="278" t="inlineStr"/>
      <c r="LQE78" s="278" t="inlineStr"/>
      <c r="LQF78" s="278" t="inlineStr"/>
      <c r="LQG78" s="278" t="inlineStr"/>
      <c r="LQH78" s="278" t="inlineStr"/>
      <c r="LQI78" s="278" t="inlineStr"/>
      <c r="LQJ78" s="278" t="inlineStr"/>
      <c r="LQK78" s="278" t="inlineStr"/>
      <c r="LQL78" s="278" t="inlineStr"/>
      <c r="LQM78" s="278" t="inlineStr"/>
      <c r="LQN78" s="278" t="inlineStr"/>
      <c r="LQO78" s="278" t="inlineStr"/>
      <c r="LQP78" s="278" t="inlineStr"/>
      <c r="LQQ78" s="278" t="inlineStr"/>
      <c r="LQR78" s="278" t="inlineStr"/>
      <c r="LQS78" s="278" t="inlineStr"/>
      <c r="LQT78" s="278" t="inlineStr"/>
      <c r="LQU78" s="278" t="inlineStr"/>
      <c r="LQV78" s="278" t="inlineStr"/>
      <c r="LQW78" s="278" t="inlineStr"/>
      <c r="LQX78" s="278" t="inlineStr"/>
      <c r="LQY78" s="278" t="inlineStr"/>
      <c r="LQZ78" s="278" t="inlineStr"/>
      <c r="LRA78" s="278" t="inlineStr"/>
      <c r="LRB78" s="278" t="inlineStr"/>
      <c r="LRC78" s="278" t="inlineStr"/>
      <c r="LRD78" s="278" t="inlineStr"/>
      <c r="LRE78" s="278" t="inlineStr"/>
      <c r="LRF78" s="278" t="inlineStr"/>
      <c r="LRG78" s="278" t="inlineStr"/>
      <c r="LRH78" s="278" t="inlineStr"/>
      <c r="LRI78" s="278" t="inlineStr"/>
      <c r="LRJ78" s="278" t="inlineStr"/>
      <c r="LRK78" s="278" t="inlineStr"/>
      <c r="LRL78" s="278" t="inlineStr"/>
      <c r="LRM78" s="278" t="inlineStr"/>
      <c r="LRN78" s="278" t="inlineStr"/>
      <c r="LRO78" s="278" t="inlineStr"/>
      <c r="LRP78" s="278" t="inlineStr"/>
      <c r="LRQ78" s="278" t="inlineStr"/>
      <c r="LRR78" s="278" t="inlineStr"/>
      <c r="LRS78" s="278" t="inlineStr"/>
      <c r="LRT78" s="278" t="inlineStr"/>
      <c r="LRU78" s="278" t="inlineStr"/>
      <c r="LRV78" s="278" t="inlineStr"/>
      <c r="LRW78" s="278" t="inlineStr"/>
      <c r="LRX78" s="278" t="inlineStr"/>
      <c r="LRY78" s="278" t="inlineStr"/>
      <c r="LRZ78" s="278" t="inlineStr"/>
      <c r="LSA78" s="278" t="inlineStr"/>
      <c r="LSB78" s="278" t="inlineStr"/>
      <c r="LSC78" s="278" t="inlineStr"/>
      <c r="LSD78" s="278" t="inlineStr"/>
      <c r="LSE78" s="278" t="inlineStr"/>
      <c r="LSF78" s="278" t="inlineStr"/>
      <c r="LSG78" s="278" t="inlineStr"/>
      <c r="LSH78" s="278" t="inlineStr"/>
      <c r="LSI78" s="278" t="inlineStr"/>
      <c r="LSJ78" s="278" t="inlineStr"/>
      <c r="LSK78" s="278" t="inlineStr"/>
      <c r="LSL78" s="278" t="inlineStr"/>
      <c r="LSM78" s="278" t="inlineStr"/>
      <c r="LSN78" s="278" t="inlineStr"/>
      <c r="LSO78" s="278" t="inlineStr"/>
      <c r="LSP78" s="278" t="inlineStr"/>
      <c r="LSQ78" s="278" t="inlineStr"/>
      <c r="LSR78" s="278" t="inlineStr"/>
      <c r="LSS78" s="278" t="inlineStr"/>
      <c r="LST78" s="278" t="inlineStr"/>
      <c r="LSU78" s="278" t="inlineStr"/>
      <c r="LSV78" s="278" t="inlineStr"/>
      <c r="LSW78" s="278" t="inlineStr"/>
      <c r="LSX78" s="278" t="inlineStr"/>
      <c r="LSY78" s="278" t="inlineStr"/>
      <c r="LSZ78" s="278" t="inlineStr"/>
      <c r="LTA78" s="278" t="inlineStr"/>
      <c r="LTB78" s="278" t="inlineStr"/>
      <c r="LTC78" s="278" t="inlineStr"/>
      <c r="LTD78" s="278" t="inlineStr"/>
      <c r="LTE78" s="278" t="inlineStr"/>
      <c r="LTF78" s="278" t="inlineStr"/>
      <c r="LTG78" s="278" t="inlineStr"/>
      <c r="LTH78" s="278" t="inlineStr"/>
      <c r="LTI78" s="278" t="inlineStr"/>
      <c r="LTJ78" s="278" t="inlineStr"/>
      <c r="LTK78" s="278" t="inlineStr"/>
      <c r="LTL78" s="278" t="inlineStr"/>
      <c r="LTM78" s="278" t="inlineStr"/>
      <c r="LTN78" s="278" t="inlineStr"/>
      <c r="LTO78" s="278" t="inlineStr"/>
      <c r="LTP78" s="278" t="inlineStr"/>
      <c r="LTQ78" s="278" t="inlineStr"/>
      <c r="LTR78" s="278" t="inlineStr"/>
      <c r="LTS78" s="278" t="inlineStr"/>
      <c r="LTT78" s="278" t="inlineStr"/>
      <c r="LTU78" s="278" t="inlineStr"/>
      <c r="LTV78" s="278" t="inlineStr"/>
      <c r="LTW78" s="278" t="inlineStr"/>
      <c r="LTX78" s="278" t="inlineStr"/>
      <c r="LTY78" s="278" t="inlineStr"/>
      <c r="LTZ78" s="278" t="inlineStr"/>
      <c r="LUA78" s="278" t="inlineStr"/>
      <c r="LUB78" s="278" t="inlineStr"/>
      <c r="LUC78" s="278" t="inlineStr"/>
      <c r="LUD78" s="278" t="inlineStr"/>
      <c r="LUE78" s="278" t="inlineStr"/>
      <c r="LUF78" s="278" t="inlineStr"/>
      <c r="LUG78" s="278" t="inlineStr"/>
      <c r="LUH78" s="278" t="inlineStr"/>
      <c r="LUI78" s="278" t="inlineStr"/>
      <c r="LUJ78" s="278" t="inlineStr"/>
      <c r="LUK78" s="278" t="inlineStr"/>
      <c r="LUL78" s="278" t="inlineStr"/>
      <c r="LUM78" s="278" t="inlineStr"/>
      <c r="LUN78" s="278" t="inlineStr"/>
      <c r="LUO78" s="278" t="inlineStr"/>
      <c r="LUP78" s="278" t="inlineStr"/>
      <c r="LUQ78" s="278" t="inlineStr"/>
      <c r="LUR78" s="278" t="inlineStr"/>
      <c r="LUS78" s="278" t="inlineStr"/>
      <c r="LUT78" s="278" t="inlineStr"/>
      <c r="LUU78" s="278" t="inlineStr"/>
      <c r="LUV78" s="278" t="inlineStr"/>
      <c r="LUW78" s="278" t="inlineStr"/>
      <c r="LUX78" s="278" t="inlineStr"/>
      <c r="LUY78" s="278" t="inlineStr"/>
      <c r="LUZ78" s="278" t="inlineStr"/>
      <c r="LVA78" s="278" t="inlineStr"/>
      <c r="LVB78" s="278" t="inlineStr"/>
      <c r="LVC78" s="278" t="inlineStr"/>
      <c r="LVD78" s="278" t="inlineStr"/>
      <c r="LVE78" s="278" t="inlineStr"/>
      <c r="LVF78" s="278" t="inlineStr"/>
      <c r="LVG78" s="278" t="inlineStr"/>
      <c r="LVH78" s="278" t="inlineStr"/>
      <c r="LVI78" s="278" t="inlineStr"/>
      <c r="LVJ78" s="278" t="inlineStr"/>
      <c r="LVK78" s="278" t="inlineStr"/>
      <c r="LVL78" s="278" t="inlineStr"/>
      <c r="LVM78" s="278" t="inlineStr"/>
      <c r="LVN78" s="278" t="inlineStr"/>
      <c r="LVO78" s="278" t="inlineStr"/>
      <c r="LVP78" s="278" t="inlineStr"/>
      <c r="LVQ78" s="278" t="inlineStr"/>
      <c r="LVR78" s="278" t="inlineStr"/>
      <c r="LVS78" s="278" t="inlineStr"/>
      <c r="LVT78" s="278" t="inlineStr"/>
      <c r="LVU78" s="278" t="inlineStr"/>
      <c r="LVV78" s="278" t="inlineStr"/>
      <c r="LVW78" s="278" t="inlineStr"/>
      <c r="LVX78" s="278" t="inlineStr"/>
      <c r="LVY78" s="278" t="inlineStr"/>
      <c r="LVZ78" s="278" t="inlineStr"/>
      <c r="LWA78" s="278" t="inlineStr"/>
      <c r="LWB78" s="278" t="inlineStr"/>
      <c r="LWC78" s="278" t="inlineStr"/>
      <c r="LWD78" s="278" t="inlineStr"/>
      <c r="LWE78" s="278" t="inlineStr"/>
      <c r="LWF78" s="278" t="inlineStr"/>
      <c r="LWG78" s="278" t="inlineStr"/>
      <c r="LWH78" s="278" t="inlineStr"/>
      <c r="LWI78" s="278" t="inlineStr"/>
      <c r="LWJ78" s="278" t="inlineStr"/>
      <c r="LWK78" s="278" t="inlineStr"/>
      <c r="LWL78" s="278" t="inlineStr"/>
      <c r="LWM78" s="278" t="inlineStr"/>
      <c r="LWN78" s="278" t="inlineStr"/>
      <c r="LWO78" s="278" t="inlineStr"/>
      <c r="LWP78" s="278" t="inlineStr"/>
      <c r="LWQ78" s="278" t="inlineStr"/>
      <c r="LWR78" s="278" t="inlineStr"/>
      <c r="LWS78" s="278" t="inlineStr"/>
      <c r="LWT78" s="278" t="inlineStr"/>
      <c r="LWU78" s="278" t="inlineStr"/>
      <c r="LWV78" s="278" t="inlineStr"/>
      <c r="LWW78" s="278" t="inlineStr"/>
      <c r="LWX78" s="278" t="inlineStr"/>
      <c r="LWY78" s="278" t="inlineStr"/>
      <c r="LWZ78" s="278" t="inlineStr"/>
      <c r="LXA78" s="278" t="inlineStr"/>
      <c r="LXB78" s="278" t="inlineStr"/>
      <c r="LXC78" s="278" t="inlineStr"/>
      <c r="LXD78" s="278" t="inlineStr"/>
      <c r="LXE78" s="278" t="inlineStr"/>
      <c r="LXF78" s="278" t="inlineStr"/>
      <c r="LXG78" s="278" t="inlineStr"/>
      <c r="LXH78" s="278" t="inlineStr"/>
      <c r="LXI78" s="278" t="inlineStr"/>
      <c r="LXJ78" s="278" t="inlineStr"/>
      <c r="LXK78" s="278" t="inlineStr"/>
      <c r="LXL78" s="278" t="inlineStr"/>
      <c r="LXM78" s="278" t="inlineStr"/>
      <c r="LXN78" s="278" t="inlineStr"/>
      <c r="LXO78" s="278" t="inlineStr"/>
      <c r="LXP78" s="278" t="inlineStr"/>
      <c r="LXQ78" s="278" t="inlineStr"/>
      <c r="LXR78" s="278" t="inlineStr"/>
      <c r="LXS78" s="278" t="inlineStr"/>
      <c r="LXT78" s="278" t="inlineStr"/>
      <c r="LXU78" s="278" t="inlineStr"/>
      <c r="LXV78" s="278" t="inlineStr"/>
      <c r="LXW78" s="278" t="inlineStr"/>
      <c r="LXX78" s="278" t="inlineStr"/>
      <c r="LXY78" s="278" t="inlineStr"/>
      <c r="LXZ78" s="278" t="inlineStr"/>
      <c r="LYA78" s="278" t="inlineStr"/>
      <c r="LYB78" s="278" t="inlineStr"/>
      <c r="LYC78" s="278" t="inlineStr"/>
      <c r="LYD78" s="278" t="inlineStr"/>
      <c r="LYE78" s="278" t="inlineStr"/>
      <c r="LYF78" s="278" t="inlineStr"/>
      <c r="LYG78" s="278" t="inlineStr"/>
      <c r="LYH78" s="278" t="inlineStr"/>
      <c r="LYI78" s="278" t="inlineStr"/>
      <c r="LYJ78" s="278" t="inlineStr"/>
      <c r="LYK78" s="278" t="inlineStr"/>
      <c r="LYL78" s="278" t="inlineStr"/>
      <c r="LYM78" s="278" t="inlineStr"/>
      <c r="LYN78" s="278" t="inlineStr"/>
      <c r="LYO78" s="278" t="inlineStr"/>
      <c r="LYP78" s="278" t="inlineStr"/>
      <c r="LYQ78" s="278" t="inlineStr"/>
      <c r="LYR78" s="278" t="inlineStr"/>
      <c r="LYS78" s="278" t="inlineStr"/>
      <c r="LYT78" s="278" t="inlineStr"/>
      <c r="LYU78" s="278" t="inlineStr"/>
      <c r="LYV78" s="278" t="inlineStr"/>
      <c r="LYW78" s="278" t="inlineStr"/>
      <c r="LYX78" s="278" t="inlineStr"/>
      <c r="LYY78" s="278" t="inlineStr"/>
      <c r="LYZ78" s="278" t="inlineStr"/>
      <c r="LZA78" s="278" t="inlineStr"/>
      <c r="LZB78" s="278" t="inlineStr"/>
      <c r="LZC78" s="278" t="inlineStr"/>
      <c r="LZD78" s="278" t="inlineStr"/>
      <c r="LZE78" s="278" t="inlineStr"/>
      <c r="LZF78" s="278" t="inlineStr"/>
      <c r="LZG78" s="278" t="inlineStr"/>
      <c r="LZH78" s="278" t="inlineStr"/>
      <c r="LZI78" s="278" t="inlineStr"/>
      <c r="LZJ78" s="278" t="inlineStr"/>
      <c r="LZK78" s="278" t="inlineStr"/>
      <c r="LZL78" s="278" t="inlineStr"/>
      <c r="LZM78" s="278" t="inlineStr"/>
      <c r="LZN78" s="278" t="inlineStr"/>
      <c r="LZO78" s="278" t="inlineStr"/>
      <c r="LZP78" s="278" t="inlineStr"/>
      <c r="LZQ78" s="278" t="inlineStr"/>
      <c r="LZR78" s="278" t="inlineStr"/>
      <c r="LZS78" s="278" t="inlineStr"/>
      <c r="LZT78" s="278" t="inlineStr"/>
      <c r="LZU78" s="278" t="inlineStr"/>
      <c r="LZV78" s="278" t="inlineStr"/>
      <c r="LZW78" s="278" t="inlineStr"/>
      <c r="LZX78" s="278" t="inlineStr"/>
      <c r="LZY78" s="278" t="inlineStr"/>
      <c r="LZZ78" s="278" t="inlineStr"/>
      <c r="MAA78" s="278" t="inlineStr"/>
      <c r="MAB78" s="278" t="inlineStr"/>
      <c r="MAC78" s="278" t="inlineStr"/>
      <c r="MAD78" s="278" t="inlineStr"/>
      <c r="MAE78" s="278" t="inlineStr"/>
      <c r="MAF78" s="278" t="inlineStr"/>
      <c r="MAG78" s="278" t="inlineStr"/>
      <c r="MAH78" s="278" t="inlineStr"/>
      <c r="MAI78" s="278" t="inlineStr"/>
      <c r="MAJ78" s="278" t="inlineStr"/>
      <c r="MAK78" s="278" t="inlineStr"/>
      <c r="MAL78" s="278" t="inlineStr"/>
      <c r="MAM78" s="278" t="inlineStr"/>
      <c r="MAN78" s="278" t="inlineStr"/>
      <c r="MAO78" s="278" t="inlineStr"/>
      <c r="MAP78" s="278" t="inlineStr"/>
      <c r="MAQ78" s="278" t="inlineStr"/>
      <c r="MAR78" s="278" t="inlineStr"/>
      <c r="MAS78" s="278" t="inlineStr"/>
      <c r="MAT78" s="278" t="inlineStr"/>
      <c r="MAU78" s="278" t="inlineStr"/>
      <c r="MAV78" s="278" t="inlineStr"/>
      <c r="MAW78" s="278" t="inlineStr"/>
      <c r="MAX78" s="278" t="inlineStr"/>
      <c r="MAY78" s="278" t="inlineStr"/>
      <c r="MAZ78" s="278" t="inlineStr"/>
      <c r="MBA78" s="278" t="inlineStr"/>
      <c r="MBB78" s="278" t="inlineStr"/>
      <c r="MBC78" s="278" t="inlineStr"/>
      <c r="MBD78" s="278" t="inlineStr"/>
      <c r="MBE78" s="278" t="inlineStr"/>
      <c r="MBF78" s="278" t="inlineStr"/>
      <c r="MBG78" s="278" t="inlineStr"/>
      <c r="MBH78" s="278" t="inlineStr"/>
      <c r="MBI78" s="278" t="inlineStr"/>
      <c r="MBJ78" s="278" t="inlineStr"/>
      <c r="MBK78" s="278" t="inlineStr"/>
      <c r="MBL78" s="278" t="inlineStr"/>
      <c r="MBM78" s="278" t="inlineStr"/>
      <c r="MBN78" s="278" t="inlineStr"/>
      <c r="MBO78" s="278" t="inlineStr"/>
      <c r="MBP78" s="278" t="inlineStr"/>
      <c r="MBQ78" s="278" t="inlineStr"/>
      <c r="MBR78" s="278" t="inlineStr"/>
      <c r="MBS78" s="278" t="inlineStr"/>
      <c r="MBT78" s="278" t="inlineStr"/>
      <c r="MBU78" s="278" t="inlineStr"/>
      <c r="MBV78" s="278" t="inlineStr"/>
      <c r="MBW78" s="278" t="inlineStr"/>
      <c r="MBX78" s="278" t="inlineStr"/>
      <c r="MBY78" s="278" t="inlineStr"/>
      <c r="MBZ78" s="278" t="inlineStr"/>
      <c r="MCA78" s="278" t="inlineStr"/>
      <c r="MCB78" s="278" t="inlineStr"/>
      <c r="MCC78" s="278" t="inlineStr"/>
      <c r="MCD78" s="278" t="inlineStr"/>
      <c r="MCE78" s="278" t="inlineStr"/>
      <c r="MCF78" s="278" t="inlineStr"/>
      <c r="MCG78" s="278" t="inlineStr"/>
      <c r="MCH78" s="278" t="inlineStr"/>
      <c r="MCI78" s="278" t="inlineStr"/>
      <c r="MCJ78" s="278" t="inlineStr"/>
      <c r="MCK78" s="278" t="inlineStr"/>
      <c r="MCL78" s="278" t="inlineStr"/>
      <c r="MCM78" s="278" t="inlineStr"/>
      <c r="MCN78" s="278" t="inlineStr"/>
      <c r="MCO78" s="278" t="inlineStr"/>
      <c r="MCP78" s="278" t="inlineStr"/>
      <c r="MCQ78" s="278" t="inlineStr"/>
      <c r="MCR78" s="278" t="inlineStr"/>
      <c r="MCS78" s="278" t="inlineStr"/>
      <c r="MCT78" s="278" t="inlineStr"/>
      <c r="MCU78" s="278" t="inlineStr"/>
      <c r="MCV78" s="278" t="inlineStr"/>
      <c r="MCW78" s="278" t="inlineStr"/>
      <c r="MCX78" s="278" t="inlineStr"/>
      <c r="MCY78" s="278" t="inlineStr"/>
      <c r="MCZ78" s="278" t="inlineStr"/>
      <c r="MDA78" s="278" t="inlineStr"/>
      <c r="MDB78" s="278" t="inlineStr"/>
      <c r="MDC78" s="278" t="inlineStr"/>
      <c r="MDD78" s="278" t="inlineStr"/>
      <c r="MDE78" s="278" t="inlineStr"/>
      <c r="MDF78" s="278" t="inlineStr"/>
      <c r="MDG78" s="278" t="inlineStr"/>
      <c r="MDH78" s="278" t="inlineStr"/>
      <c r="MDI78" s="278" t="inlineStr"/>
      <c r="MDJ78" s="278" t="inlineStr"/>
      <c r="MDK78" s="278" t="inlineStr"/>
      <c r="MDL78" s="278" t="inlineStr"/>
      <c r="MDM78" s="278" t="inlineStr"/>
      <c r="MDN78" s="278" t="inlineStr"/>
      <c r="MDO78" s="278" t="inlineStr"/>
      <c r="MDP78" s="278" t="inlineStr"/>
      <c r="MDQ78" s="278" t="inlineStr"/>
      <c r="MDR78" s="278" t="inlineStr"/>
      <c r="MDS78" s="278" t="inlineStr"/>
      <c r="MDT78" s="278" t="inlineStr"/>
      <c r="MDU78" s="278" t="inlineStr"/>
      <c r="MDV78" s="278" t="inlineStr"/>
      <c r="MDW78" s="278" t="inlineStr"/>
      <c r="MDX78" s="278" t="inlineStr"/>
      <c r="MDY78" s="278" t="inlineStr"/>
      <c r="MDZ78" s="278" t="inlineStr"/>
      <c r="MEA78" s="278" t="inlineStr"/>
      <c r="MEB78" s="278" t="inlineStr"/>
      <c r="MEC78" s="278" t="inlineStr"/>
      <c r="MED78" s="278" t="inlineStr"/>
      <c r="MEE78" s="278" t="inlineStr"/>
      <c r="MEF78" s="278" t="inlineStr"/>
      <c r="MEG78" s="278" t="inlineStr"/>
      <c r="MEH78" s="278" t="inlineStr"/>
      <c r="MEI78" s="278" t="inlineStr"/>
      <c r="MEJ78" s="278" t="inlineStr"/>
      <c r="MEK78" s="278" t="inlineStr"/>
      <c r="MEL78" s="278" t="inlineStr"/>
      <c r="MEM78" s="278" t="inlineStr"/>
      <c r="MEN78" s="278" t="inlineStr"/>
      <c r="MEO78" s="278" t="inlineStr"/>
      <c r="MEP78" s="278" t="inlineStr"/>
      <c r="MEQ78" s="278" t="inlineStr"/>
      <c r="MER78" s="278" t="inlineStr"/>
      <c r="MES78" s="278" t="inlineStr"/>
      <c r="MET78" s="278" t="inlineStr"/>
      <c r="MEU78" s="278" t="inlineStr"/>
      <c r="MEV78" s="278" t="inlineStr"/>
      <c r="MEW78" s="278" t="inlineStr"/>
      <c r="MEX78" s="278" t="inlineStr"/>
      <c r="MEY78" s="278" t="inlineStr"/>
      <c r="MEZ78" s="278" t="inlineStr"/>
      <c r="MFA78" s="278" t="inlineStr"/>
      <c r="MFB78" s="278" t="inlineStr"/>
      <c r="MFC78" s="278" t="inlineStr"/>
      <c r="MFD78" s="278" t="inlineStr"/>
      <c r="MFE78" s="278" t="inlineStr"/>
      <c r="MFF78" s="278" t="inlineStr"/>
      <c r="MFG78" s="278" t="inlineStr"/>
      <c r="MFH78" s="278" t="inlineStr"/>
      <c r="MFI78" s="278" t="inlineStr"/>
      <c r="MFJ78" s="278" t="inlineStr"/>
      <c r="MFK78" s="278" t="inlineStr"/>
      <c r="MFL78" s="278" t="inlineStr"/>
      <c r="MFM78" s="278" t="inlineStr"/>
      <c r="MFN78" s="278" t="inlineStr"/>
      <c r="MFO78" s="278" t="inlineStr"/>
      <c r="MFP78" s="278" t="inlineStr"/>
      <c r="MFQ78" s="278" t="inlineStr"/>
      <c r="MFR78" s="278" t="inlineStr"/>
      <c r="MFS78" s="278" t="inlineStr"/>
      <c r="MFT78" s="278" t="inlineStr"/>
      <c r="MFU78" s="278" t="inlineStr"/>
      <c r="MFV78" s="278" t="inlineStr"/>
      <c r="MFW78" s="278" t="inlineStr"/>
      <c r="MFX78" s="278" t="inlineStr"/>
      <c r="MFY78" s="278" t="inlineStr"/>
      <c r="MFZ78" s="278" t="inlineStr"/>
      <c r="MGA78" s="278" t="inlineStr"/>
      <c r="MGB78" s="278" t="inlineStr"/>
      <c r="MGC78" s="278" t="inlineStr"/>
      <c r="MGD78" s="278" t="inlineStr"/>
      <c r="MGE78" s="278" t="inlineStr"/>
      <c r="MGF78" s="278" t="inlineStr"/>
      <c r="MGG78" s="278" t="inlineStr"/>
      <c r="MGH78" s="278" t="inlineStr"/>
      <c r="MGI78" s="278" t="inlineStr"/>
      <c r="MGJ78" s="278" t="inlineStr"/>
      <c r="MGK78" s="278" t="inlineStr"/>
      <c r="MGL78" s="278" t="inlineStr"/>
      <c r="MGM78" s="278" t="inlineStr"/>
      <c r="MGN78" s="278" t="inlineStr"/>
      <c r="MGO78" s="278" t="inlineStr"/>
      <c r="MGP78" s="278" t="inlineStr"/>
      <c r="MGQ78" s="278" t="inlineStr"/>
      <c r="MGR78" s="278" t="inlineStr"/>
      <c r="MGS78" s="278" t="inlineStr"/>
      <c r="MGT78" s="278" t="inlineStr"/>
      <c r="MGU78" s="278" t="inlineStr"/>
      <c r="MGV78" s="278" t="inlineStr"/>
      <c r="MGW78" s="278" t="inlineStr"/>
      <c r="MGX78" s="278" t="inlineStr"/>
      <c r="MGY78" s="278" t="inlineStr"/>
      <c r="MGZ78" s="278" t="inlineStr"/>
      <c r="MHA78" s="278" t="inlineStr"/>
      <c r="MHB78" s="278" t="inlineStr"/>
      <c r="MHC78" s="278" t="inlineStr"/>
      <c r="MHD78" s="278" t="inlineStr"/>
      <c r="MHE78" s="278" t="inlineStr"/>
      <c r="MHF78" s="278" t="inlineStr"/>
      <c r="MHG78" s="278" t="inlineStr"/>
      <c r="MHH78" s="278" t="inlineStr"/>
      <c r="MHI78" s="278" t="inlineStr"/>
      <c r="MHJ78" s="278" t="inlineStr"/>
      <c r="MHK78" s="278" t="inlineStr"/>
      <c r="MHL78" s="278" t="inlineStr"/>
      <c r="MHM78" s="278" t="inlineStr"/>
      <c r="MHN78" s="278" t="inlineStr"/>
      <c r="MHO78" s="278" t="inlineStr"/>
      <c r="MHP78" s="278" t="inlineStr"/>
      <c r="MHQ78" s="278" t="inlineStr"/>
      <c r="MHR78" s="278" t="inlineStr"/>
      <c r="MHS78" s="278" t="inlineStr"/>
      <c r="MHT78" s="278" t="inlineStr"/>
      <c r="MHU78" s="278" t="inlineStr"/>
      <c r="MHV78" s="278" t="inlineStr"/>
      <c r="MHW78" s="278" t="inlineStr"/>
      <c r="MHX78" s="278" t="inlineStr"/>
      <c r="MHY78" s="278" t="inlineStr"/>
      <c r="MHZ78" s="278" t="inlineStr"/>
      <c r="MIA78" s="278" t="inlineStr"/>
      <c r="MIB78" s="278" t="inlineStr"/>
      <c r="MIC78" s="278" t="inlineStr"/>
      <c r="MID78" s="278" t="inlineStr"/>
      <c r="MIE78" s="278" t="inlineStr"/>
      <c r="MIF78" s="278" t="inlineStr"/>
      <c r="MIG78" s="278" t="inlineStr"/>
      <c r="MIH78" s="278" t="inlineStr"/>
      <c r="MII78" s="278" t="inlineStr"/>
      <c r="MIJ78" s="278" t="inlineStr"/>
      <c r="MIK78" s="278" t="inlineStr"/>
      <c r="MIL78" s="278" t="inlineStr"/>
      <c r="MIM78" s="278" t="inlineStr"/>
      <c r="MIN78" s="278" t="inlineStr"/>
      <c r="MIO78" s="278" t="inlineStr"/>
      <c r="MIP78" s="278" t="inlineStr"/>
      <c r="MIQ78" s="278" t="inlineStr"/>
      <c r="MIR78" s="278" t="inlineStr"/>
      <c r="MIS78" s="278" t="inlineStr"/>
      <c r="MIT78" s="278" t="inlineStr"/>
      <c r="MIU78" s="278" t="inlineStr"/>
      <c r="MIV78" s="278" t="inlineStr"/>
      <c r="MIW78" s="278" t="inlineStr"/>
      <c r="MIX78" s="278" t="inlineStr"/>
      <c r="MIY78" s="278" t="inlineStr"/>
      <c r="MIZ78" s="278" t="inlineStr"/>
      <c r="MJA78" s="278" t="inlineStr"/>
      <c r="MJB78" s="278" t="inlineStr"/>
      <c r="MJC78" s="278" t="inlineStr"/>
      <c r="MJD78" s="278" t="inlineStr"/>
      <c r="MJE78" s="278" t="inlineStr"/>
      <c r="MJF78" s="278" t="inlineStr"/>
      <c r="MJG78" s="278" t="inlineStr"/>
      <c r="MJH78" s="278" t="inlineStr"/>
      <c r="MJI78" s="278" t="inlineStr"/>
      <c r="MJJ78" s="278" t="inlineStr"/>
      <c r="MJK78" s="278" t="inlineStr"/>
      <c r="MJL78" s="278" t="inlineStr"/>
      <c r="MJM78" s="278" t="inlineStr"/>
      <c r="MJN78" s="278" t="inlineStr"/>
      <c r="MJO78" s="278" t="inlineStr"/>
      <c r="MJP78" s="278" t="inlineStr"/>
      <c r="MJQ78" s="278" t="inlineStr"/>
      <c r="MJR78" s="278" t="inlineStr"/>
      <c r="MJS78" s="278" t="inlineStr"/>
      <c r="MJT78" s="278" t="inlineStr"/>
      <c r="MJU78" s="278" t="inlineStr"/>
      <c r="MJV78" s="278" t="inlineStr"/>
      <c r="MJW78" s="278" t="inlineStr"/>
      <c r="MJX78" s="278" t="inlineStr"/>
      <c r="MJY78" s="278" t="inlineStr"/>
      <c r="MJZ78" s="278" t="inlineStr"/>
      <c r="MKA78" s="278" t="inlineStr"/>
      <c r="MKB78" s="278" t="inlineStr"/>
      <c r="MKC78" s="278" t="inlineStr"/>
      <c r="MKD78" s="278" t="inlineStr"/>
      <c r="MKE78" s="278" t="inlineStr"/>
      <c r="MKF78" s="278" t="inlineStr"/>
      <c r="MKG78" s="278" t="inlineStr"/>
      <c r="MKH78" s="278" t="inlineStr"/>
      <c r="MKI78" s="278" t="inlineStr"/>
      <c r="MKJ78" s="278" t="inlineStr"/>
      <c r="MKK78" s="278" t="inlineStr"/>
      <c r="MKL78" s="278" t="inlineStr"/>
      <c r="MKM78" s="278" t="inlineStr"/>
      <c r="MKN78" s="278" t="inlineStr"/>
      <c r="MKO78" s="278" t="inlineStr"/>
      <c r="MKP78" s="278" t="inlineStr"/>
      <c r="MKQ78" s="278" t="inlineStr"/>
      <c r="MKR78" s="278" t="inlineStr"/>
      <c r="MKS78" s="278" t="inlineStr"/>
      <c r="MKT78" s="278" t="inlineStr"/>
      <c r="MKU78" s="278" t="inlineStr"/>
      <c r="MKV78" s="278" t="inlineStr"/>
      <c r="MKW78" s="278" t="inlineStr"/>
      <c r="MKX78" s="278" t="inlineStr"/>
      <c r="MKY78" s="278" t="inlineStr"/>
      <c r="MKZ78" s="278" t="inlineStr"/>
      <c r="MLA78" s="278" t="inlineStr"/>
      <c r="MLB78" s="278" t="inlineStr"/>
      <c r="MLC78" s="278" t="inlineStr"/>
      <c r="MLD78" s="278" t="inlineStr"/>
      <c r="MLE78" s="278" t="inlineStr"/>
      <c r="MLF78" s="278" t="inlineStr"/>
      <c r="MLG78" s="278" t="inlineStr"/>
      <c r="MLH78" s="278" t="inlineStr"/>
      <c r="MLI78" s="278" t="inlineStr"/>
      <c r="MLJ78" s="278" t="inlineStr"/>
      <c r="MLK78" s="278" t="inlineStr"/>
      <c r="MLL78" s="278" t="inlineStr"/>
      <c r="MLM78" s="278" t="inlineStr"/>
      <c r="MLN78" s="278" t="inlineStr"/>
      <c r="MLO78" s="278" t="inlineStr"/>
      <c r="MLP78" s="278" t="inlineStr"/>
      <c r="MLQ78" s="278" t="inlineStr"/>
      <c r="MLR78" s="278" t="inlineStr"/>
      <c r="MLS78" s="278" t="inlineStr"/>
      <c r="MLT78" s="278" t="inlineStr"/>
      <c r="MLU78" s="278" t="inlineStr"/>
      <c r="MLV78" s="278" t="inlineStr"/>
      <c r="MLW78" s="278" t="inlineStr"/>
      <c r="MLX78" s="278" t="inlineStr"/>
      <c r="MLY78" s="278" t="inlineStr"/>
      <c r="MLZ78" s="278" t="inlineStr"/>
      <c r="MMA78" s="278" t="inlineStr"/>
      <c r="MMB78" s="278" t="inlineStr"/>
      <c r="MMC78" s="278" t="inlineStr"/>
      <c r="MMD78" s="278" t="inlineStr"/>
      <c r="MME78" s="278" t="inlineStr"/>
      <c r="MMF78" s="278" t="inlineStr"/>
      <c r="MMG78" s="278" t="inlineStr"/>
      <c r="MMH78" s="278" t="inlineStr"/>
      <c r="MMI78" s="278" t="inlineStr"/>
      <c r="MMJ78" s="278" t="inlineStr"/>
      <c r="MMK78" s="278" t="inlineStr"/>
      <c r="MML78" s="278" t="inlineStr"/>
      <c r="MMM78" s="278" t="inlineStr"/>
      <c r="MMN78" s="278" t="inlineStr"/>
      <c r="MMO78" s="278" t="inlineStr"/>
      <c r="MMP78" s="278" t="inlineStr"/>
      <c r="MMQ78" s="278" t="inlineStr"/>
      <c r="MMR78" s="278" t="inlineStr"/>
      <c r="MMS78" s="278" t="inlineStr"/>
      <c r="MMT78" s="278" t="inlineStr"/>
      <c r="MMU78" s="278" t="inlineStr"/>
      <c r="MMV78" s="278" t="inlineStr"/>
      <c r="MMW78" s="278" t="inlineStr"/>
      <c r="MMX78" s="278" t="inlineStr"/>
      <c r="MMY78" s="278" t="inlineStr"/>
      <c r="MMZ78" s="278" t="inlineStr"/>
      <c r="MNA78" s="278" t="inlineStr"/>
      <c r="MNB78" s="278" t="inlineStr"/>
      <c r="MNC78" s="278" t="inlineStr"/>
      <c r="MND78" s="278" t="inlineStr"/>
      <c r="MNE78" s="278" t="inlineStr"/>
      <c r="MNF78" s="278" t="inlineStr"/>
      <c r="MNG78" s="278" t="inlineStr"/>
      <c r="MNH78" s="278" t="inlineStr"/>
      <c r="MNI78" s="278" t="inlineStr"/>
      <c r="MNJ78" s="278" t="inlineStr"/>
      <c r="MNK78" s="278" t="inlineStr"/>
      <c r="MNL78" s="278" t="inlineStr"/>
      <c r="MNM78" s="278" t="inlineStr"/>
      <c r="MNN78" s="278" t="inlineStr"/>
      <c r="MNO78" s="278" t="inlineStr"/>
      <c r="MNP78" s="278" t="inlineStr"/>
      <c r="MNQ78" s="278" t="inlineStr"/>
      <c r="MNR78" s="278" t="inlineStr"/>
      <c r="MNS78" s="278" t="inlineStr"/>
      <c r="MNT78" s="278" t="inlineStr"/>
      <c r="MNU78" s="278" t="inlineStr"/>
      <c r="MNV78" s="278" t="inlineStr"/>
      <c r="MNW78" s="278" t="inlineStr"/>
      <c r="MNX78" s="278" t="inlineStr"/>
      <c r="MNY78" s="278" t="inlineStr"/>
      <c r="MNZ78" s="278" t="inlineStr"/>
      <c r="MOA78" s="278" t="inlineStr"/>
      <c r="MOB78" s="278" t="inlineStr"/>
      <c r="MOC78" s="278" t="inlineStr"/>
      <c r="MOD78" s="278" t="inlineStr"/>
      <c r="MOE78" s="278" t="inlineStr"/>
      <c r="MOF78" s="278" t="inlineStr"/>
      <c r="MOG78" s="278" t="inlineStr"/>
      <c r="MOH78" s="278" t="inlineStr"/>
      <c r="MOI78" s="278" t="inlineStr"/>
      <c r="MOJ78" s="278" t="inlineStr"/>
      <c r="MOK78" s="278" t="inlineStr"/>
      <c r="MOL78" s="278" t="inlineStr"/>
      <c r="MOM78" s="278" t="inlineStr"/>
      <c r="MON78" s="278" t="inlineStr"/>
      <c r="MOO78" s="278" t="inlineStr"/>
      <c r="MOP78" s="278" t="inlineStr"/>
      <c r="MOQ78" s="278" t="inlineStr"/>
      <c r="MOR78" s="278" t="inlineStr"/>
      <c r="MOS78" s="278" t="inlineStr"/>
      <c r="MOT78" s="278" t="inlineStr"/>
      <c r="MOU78" s="278" t="inlineStr"/>
      <c r="MOV78" s="278" t="inlineStr"/>
      <c r="MOW78" s="278" t="inlineStr"/>
      <c r="MOX78" s="278" t="inlineStr"/>
      <c r="MOY78" s="278" t="inlineStr"/>
      <c r="MOZ78" s="278" t="inlineStr"/>
      <c r="MPA78" s="278" t="inlineStr"/>
      <c r="MPB78" s="278" t="inlineStr"/>
      <c r="MPC78" s="278" t="inlineStr"/>
      <c r="MPD78" s="278" t="inlineStr"/>
      <c r="MPE78" s="278" t="inlineStr"/>
      <c r="MPF78" s="278" t="inlineStr"/>
      <c r="MPG78" s="278" t="inlineStr"/>
      <c r="MPH78" s="278" t="inlineStr"/>
      <c r="MPI78" s="278" t="inlineStr"/>
      <c r="MPJ78" s="278" t="inlineStr"/>
      <c r="MPK78" s="278" t="inlineStr"/>
      <c r="MPL78" s="278" t="inlineStr"/>
      <c r="MPM78" s="278" t="inlineStr"/>
      <c r="MPN78" s="278" t="inlineStr"/>
      <c r="MPO78" s="278" t="inlineStr"/>
      <c r="MPP78" s="278" t="inlineStr"/>
      <c r="MPQ78" s="278" t="inlineStr"/>
      <c r="MPR78" s="278" t="inlineStr"/>
      <c r="MPS78" s="278" t="inlineStr"/>
      <c r="MPT78" s="278" t="inlineStr"/>
      <c r="MPU78" s="278" t="inlineStr"/>
      <c r="MPV78" s="278" t="inlineStr"/>
      <c r="MPW78" s="278" t="inlineStr"/>
      <c r="MPX78" s="278" t="inlineStr"/>
      <c r="MPY78" s="278" t="inlineStr"/>
      <c r="MPZ78" s="278" t="inlineStr"/>
      <c r="MQA78" s="278" t="inlineStr"/>
      <c r="MQB78" s="278" t="inlineStr"/>
      <c r="MQC78" s="278" t="inlineStr"/>
      <c r="MQD78" s="278" t="inlineStr"/>
      <c r="MQE78" s="278" t="inlineStr"/>
      <c r="MQF78" s="278" t="inlineStr"/>
      <c r="MQG78" s="278" t="inlineStr"/>
      <c r="MQH78" s="278" t="inlineStr"/>
      <c r="MQI78" s="278" t="inlineStr"/>
      <c r="MQJ78" s="278" t="inlineStr"/>
      <c r="MQK78" s="278" t="inlineStr"/>
      <c r="MQL78" s="278" t="inlineStr"/>
      <c r="MQM78" s="278" t="inlineStr"/>
      <c r="MQN78" s="278" t="inlineStr"/>
      <c r="MQO78" s="278" t="inlineStr"/>
      <c r="MQP78" s="278" t="inlineStr"/>
      <c r="MQQ78" s="278" t="inlineStr"/>
      <c r="MQR78" s="278" t="inlineStr"/>
      <c r="MQS78" s="278" t="inlineStr"/>
      <c r="MQT78" s="278" t="inlineStr"/>
      <c r="MQU78" s="278" t="inlineStr"/>
      <c r="MQV78" s="278" t="inlineStr"/>
      <c r="MQW78" s="278" t="inlineStr"/>
      <c r="MQX78" s="278" t="inlineStr"/>
      <c r="MQY78" s="278" t="inlineStr"/>
      <c r="MQZ78" s="278" t="inlineStr"/>
      <c r="MRA78" s="278" t="inlineStr"/>
      <c r="MRB78" s="278" t="inlineStr"/>
      <c r="MRC78" s="278" t="inlineStr"/>
      <c r="MRD78" s="278" t="inlineStr"/>
      <c r="MRE78" s="278" t="inlineStr"/>
      <c r="MRF78" s="278" t="inlineStr"/>
      <c r="MRG78" s="278" t="inlineStr"/>
      <c r="MRH78" s="278" t="inlineStr"/>
      <c r="MRI78" s="278" t="inlineStr"/>
      <c r="MRJ78" s="278" t="inlineStr"/>
      <c r="MRK78" s="278" t="inlineStr"/>
      <c r="MRL78" s="278" t="inlineStr"/>
      <c r="MRM78" s="278" t="inlineStr"/>
      <c r="MRN78" s="278" t="inlineStr"/>
      <c r="MRO78" s="278" t="inlineStr"/>
      <c r="MRP78" s="278" t="inlineStr"/>
      <c r="MRQ78" s="278" t="inlineStr"/>
      <c r="MRR78" s="278" t="inlineStr"/>
      <c r="MRS78" s="278" t="inlineStr"/>
      <c r="MRT78" s="278" t="inlineStr"/>
      <c r="MRU78" s="278" t="inlineStr"/>
      <c r="MRV78" s="278" t="inlineStr"/>
      <c r="MRW78" s="278" t="inlineStr"/>
      <c r="MRX78" s="278" t="inlineStr"/>
      <c r="MRY78" s="278" t="inlineStr"/>
      <c r="MRZ78" s="278" t="inlineStr"/>
      <c r="MSA78" s="278" t="inlineStr"/>
      <c r="MSB78" s="278" t="inlineStr"/>
      <c r="MSC78" s="278" t="inlineStr"/>
      <c r="MSD78" s="278" t="inlineStr"/>
      <c r="MSE78" s="278" t="inlineStr"/>
      <c r="MSF78" s="278" t="inlineStr"/>
      <c r="MSG78" s="278" t="inlineStr"/>
      <c r="MSH78" s="278" t="inlineStr"/>
      <c r="MSI78" s="278" t="inlineStr"/>
      <c r="MSJ78" s="278" t="inlineStr"/>
      <c r="MSK78" s="278" t="inlineStr"/>
      <c r="MSL78" s="278" t="inlineStr"/>
      <c r="MSM78" s="278" t="inlineStr"/>
      <c r="MSN78" s="278" t="inlineStr"/>
      <c r="MSO78" s="278" t="inlineStr"/>
      <c r="MSP78" s="278" t="inlineStr"/>
      <c r="MSQ78" s="278" t="inlineStr"/>
      <c r="MSR78" s="278" t="inlineStr"/>
      <c r="MSS78" s="278" t="inlineStr"/>
      <c r="MST78" s="278" t="inlineStr"/>
      <c r="MSU78" s="278" t="inlineStr"/>
      <c r="MSV78" s="278" t="inlineStr"/>
      <c r="MSW78" s="278" t="inlineStr"/>
      <c r="MSX78" s="278" t="inlineStr"/>
      <c r="MSY78" s="278" t="inlineStr"/>
      <c r="MSZ78" s="278" t="inlineStr"/>
      <c r="MTA78" s="278" t="inlineStr"/>
      <c r="MTB78" s="278" t="inlineStr"/>
      <c r="MTC78" s="278" t="inlineStr"/>
      <c r="MTD78" s="278" t="inlineStr"/>
      <c r="MTE78" s="278" t="inlineStr"/>
      <c r="MTF78" s="278" t="inlineStr"/>
      <c r="MTG78" s="278" t="inlineStr"/>
      <c r="MTH78" s="278" t="inlineStr"/>
      <c r="MTI78" s="278" t="inlineStr"/>
      <c r="MTJ78" s="278" t="inlineStr"/>
      <c r="MTK78" s="278" t="inlineStr"/>
      <c r="MTL78" s="278" t="inlineStr"/>
      <c r="MTM78" s="278" t="inlineStr"/>
      <c r="MTN78" s="278" t="inlineStr"/>
      <c r="MTO78" s="278" t="inlineStr"/>
      <c r="MTP78" s="278" t="inlineStr"/>
      <c r="MTQ78" s="278" t="inlineStr"/>
      <c r="MTR78" s="278" t="inlineStr"/>
      <c r="MTS78" s="278" t="inlineStr"/>
      <c r="MTT78" s="278" t="inlineStr"/>
      <c r="MTU78" s="278" t="inlineStr"/>
      <c r="MTV78" s="278" t="inlineStr"/>
      <c r="MTW78" s="278" t="inlineStr"/>
      <c r="MTX78" s="278" t="inlineStr"/>
      <c r="MTY78" s="278" t="inlineStr"/>
      <c r="MTZ78" s="278" t="inlineStr"/>
      <c r="MUA78" s="278" t="inlineStr"/>
      <c r="MUB78" s="278" t="inlineStr"/>
      <c r="MUC78" s="278" t="inlineStr"/>
      <c r="MUD78" s="278" t="inlineStr"/>
      <c r="MUE78" s="278" t="inlineStr"/>
      <c r="MUF78" s="278" t="inlineStr"/>
      <c r="MUG78" s="278" t="inlineStr"/>
      <c r="MUH78" s="278" t="inlineStr"/>
      <c r="MUI78" s="278" t="inlineStr"/>
      <c r="MUJ78" s="278" t="inlineStr"/>
      <c r="MUK78" s="278" t="inlineStr"/>
      <c r="MUL78" s="278" t="inlineStr"/>
      <c r="MUM78" s="278" t="inlineStr"/>
      <c r="MUN78" s="278" t="inlineStr"/>
      <c r="MUO78" s="278" t="inlineStr"/>
      <c r="MUP78" s="278" t="inlineStr"/>
      <c r="MUQ78" s="278" t="inlineStr"/>
      <c r="MUR78" s="278" t="inlineStr"/>
      <c r="MUS78" s="278" t="inlineStr"/>
      <c r="MUT78" s="278" t="inlineStr"/>
      <c r="MUU78" s="278" t="inlineStr"/>
      <c r="MUV78" s="278" t="inlineStr"/>
      <c r="MUW78" s="278" t="inlineStr"/>
      <c r="MUX78" s="278" t="inlineStr"/>
      <c r="MUY78" s="278" t="inlineStr"/>
      <c r="MUZ78" s="278" t="inlineStr"/>
      <c r="MVA78" s="278" t="inlineStr"/>
      <c r="MVB78" s="278" t="inlineStr"/>
      <c r="MVC78" s="278" t="inlineStr"/>
      <c r="MVD78" s="278" t="inlineStr"/>
      <c r="MVE78" s="278" t="inlineStr"/>
      <c r="MVF78" s="278" t="inlineStr"/>
      <c r="MVG78" s="278" t="inlineStr"/>
      <c r="MVH78" s="278" t="inlineStr"/>
      <c r="MVI78" s="278" t="inlineStr"/>
      <c r="MVJ78" s="278" t="inlineStr"/>
      <c r="MVK78" s="278" t="inlineStr"/>
      <c r="MVL78" s="278" t="inlineStr"/>
      <c r="MVM78" s="278" t="inlineStr"/>
      <c r="MVN78" s="278" t="inlineStr"/>
      <c r="MVO78" s="278" t="inlineStr"/>
      <c r="MVP78" s="278" t="inlineStr"/>
      <c r="MVQ78" s="278" t="inlineStr"/>
      <c r="MVR78" s="278" t="inlineStr"/>
      <c r="MVS78" s="278" t="inlineStr"/>
      <c r="MVT78" s="278" t="inlineStr"/>
      <c r="MVU78" s="278" t="inlineStr"/>
      <c r="MVV78" s="278" t="inlineStr"/>
      <c r="MVW78" s="278" t="inlineStr"/>
      <c r="MVX78" s="278" t="inlineStr"/>
      <c r="MVY78" s="278" t="inlineStr"/>
      <c r="MVZ78" s="278" t="inlineStr"/>
      <c r="MWA78" s="278" t="inlineStr"/>
      <c r="MWB78" s="278" t="inlineStr"/>
      <c r="MWC78" s="278" t="inlineStr"/>
      <c r="MWD78" s="278" t="inlineStr"/>
      <c r="MWE78" s="278" t="inlineStr"/>
      <c r="MWF78" s="278" t="inlineStr"/>
      <c r="MWG78" s="278" t="inlineStr"/>
      <c r="MWH78" s="278" t="inlineStr"/>
      <c r="MWI78" s="278" t="inlineStr"/>
      <c r="MWJ78" s="278" t="inlineStr"/>
      <c r="MWK78" s="278" t="inlineStr"/>
      <c r="MWL78" s="278" t="inlineStr"/>
      <c r="MWM78" s="278" t="inlineStr"/>
      <c r="MWN78" s="278" t="inlineStr"/>
      <c r="MWO78" s="278" t="inlineStr"/>
      <c r="MWP78" s="278" t="inlineStr"/>
      <c r="MWQ78" s="278" t="inlineStr"/>
      <c r="MWR78" s="278" t="inlineStr"/>
      <c r="MWS78" s="278" t="inlineStr"/>
      <c r="MWT78" s="278" t="inlineStr"/>
      <c r="MWU78" s="278" t="inlineStr"/>
      <c r="MWV78" s="278" t="inlineStr"/>
      <c r="MWW78" s="278" t="inlineStr"/>
      <c r="MWX78" s="278" t="inlineStr"/>
      <c r="MWY78" s="278" t="inlineStr"/>
      <c r="MWZ78" s="278" t="inlineStr"/>
      <c r="MXA78" s="278" t="inlineStr"/>
      <c r="MXB78" s="278" t="inlineStr"/>
      <c r="MXC78" s="278" t="inlineStr"/>
      <c r="MXD78" s="278" t="inlineStr"/>
      <c r="MXE78" s="278" t="inlineStr"/>
      <c r="MXF78" s="278" t="inlineStr"/>
      <c r="MXG78" s="278" t="inlineStr"/>
      <c r="MXH78" s="278" t="inlineStr"/>
      <c r="MXI78" s="278" t="inlineStr"/>
      <c r="MXJ78" s="278" t="inlineStr"/>
      <c r="MXK78" s="278" t="inlineStr"/>
      <c r="MXL78" s="278" t="inlineStr"/>
      <c r="MXM78" s="278" t="inlineStr"/>
      <c r="MXN78" s="278" t="inlineStr"/>
      <c r="MXO78" s="278" t="inlineStr"/>
      <c r="MXP78" s="278" t="inlineStr"/>
      <c r="MXQ78" s="278" t="inlineStr"/>
      <c r="MXR78" s="278" t="inlineStr"/>
      <c r="MXS78" s="278" t="inlineStr"/>
      <c r="MXT78" s="278" t="inlineStr"/>
      <c r="MXU78" s="278" t="inlineStr"/>
      <c r="MXV78" s="278" t="inlineStr"/>
      <c r="MXW78" s="278" t="inlineStr"/>
      <c r="MXX78" s="278" t="inlineStr"/>
      <c r="MXY78" s="278" t="inlineStr"/>
      <c r="MXZ78" s="278" t="inlineStr"/>
      <c r="MYA78" s="278" t="inlineStr"/>
      <c r="MYB78" s="278" t="inlineStr"/>
      <c r="MYC78" s="278" t="inlineStr"/>
      <c r="MYD78" s="278" t="inlineStr"/>
      <c r="MYE78" s="278" t="inlineStr"/>
      <c r="MYF78" s="278" t="inlineStr"/>
      <c r="MYG78" s="278" t="inlineStr"/>
      <c r="MYH78" s="278" t="inlineStr"/>
      <c r="MYI78" s="278" t="inlineStr"/>
      <c r="MYJ78" s="278" t="inlineStr"/>
      <c r="MYK78" s="278" t="inlineStr"/>
      <c r="MYL78" s="278" t="inlineStr"/>
      <c r="MYM78" s="278" t="inlineStr"/>
      <c r="MYN78" s="278" t="inlineStr"/>
      <c r="MYO78" s="278" t="inlineStr"/>
      <c r="MYP78" s="278" t="inlineStr"/>
      <c r="MYQ78" s="278" t="inlineStr"/>
      <c r="MYR78" s="278" t="inlineStr"/>
      <c r="MYS78" s="278" t="inlineStr"/>
      <c r="MYT78" s="278" t="inlineStr"/>
      <c r="MYU78" s="278" t="inlineStr"/>
      <c r="MYV78" s="278" t="inlineStr"/>
      <c r="MYW78" s="278" t="inlineStr"/>
      <c r="MYX78" s="278" t="inlineStr"/>
      <c r="MYY78" s="278" t="inlineStr"/>
      <c r="MYZ78" s="278" t="inlineStr"/>
      <c r="MZA78" s="278" t="inlineStr"/>
      <c r="MZB78" s="278" t="inlineStr"/>
      <c r="MZC78" s="278" t="inlineStr"/>
      <c r="MZD78" s="278" t="inlineStr"/>
      <c r="MZE78" s="278" t="inlineStr"/>
      <c r="MZF78" s="278" t="inlineStr"/>
      <c r="MZG78" s="278" t="inlineStr"/>
      <c r="MZH78" s="278" t="inlineStr"/>
      <c r="MZI78" s="278" t="inlineStr"/>
      <c r="MZJ78" s="278" t="inlineStr"/>
      <c r="MZK78" s="278" t="inlineStr"/>
      <c r="MZL78" s="278" t="inlineStr"/>
      <c r="MZM78" s="278" t="inlineStr"/>
      <c r="MZN78" s="278" t="inlineStr"/>
      <c r="MZO78" s="278" t="inlineStr"/>
      <c r="MZP78" s="278" t="inlineStr"/>
      <c r="MZQ78" s="278" t="inlineStr"/>
      <c r="MZR78" s="278" t="inlineStr"/>
      <c r="MZS78" s="278" t="inlineStr"/>
      <c r="MZT78" s="278" t="inlineStr"/>
      <c r="MZU78" s="278" t="inlineStr"/>
      <c r="MZV78" s="278" t="inlineStr"/>
      <c r="MZW78" s="278" t="inlineStr"/>
      <c r="MZX78" s="278" t="inlineStr"/>
      <c r="MZY78" s="278" t="inlineStr"/>
      <c r="MZZ78" s="278" t="inlineStr"/>
      <c r="NAA78" s="278" t="inlineStr"/>
      <c r="NAB78" s="278" t="inlineStr"/>
      <c r="NAC78" s="278" t="inlineStr"/>
      <c r="NAD78" s="278" t="inlineStr"/>
      <c r="NAE78" s="278" t="inlineStr"/>
      <c r="NAF78" s="278" t="inlineStr"/>
      <c r="NAG78" s="278" t="inlineStr"/>
      <c r="NAH78" s="278" t="inlineStr"/>
      <c r="NAI78" s="278" t="inlineStr"/>
      <c r="NAJ78" s="278" t="inlineStr"/>
      <c r="NAK78" s="278" t="inlineStr"/>
      <c r="NAL78" s="278" t="inlineStr"/>
      <c r="NAM78" s="278" t="inlineStr"/>
      <c r="NAN78" s="278" t="inlineStr"/>
      <c r="NAO78" s="278" t="inlineStr"/>
      <c r="NAP78" s="278" t="inlineStr"/>
      <c r="NAQ78" s="278" t="inlineStr"/>
      <c r="NAR78" s="278" t="inlineStr"/>
      <c r="NAS78" s="278" t="inlineStr"/>
      <c r="NAT78" s="278" t="inlineStr"/>
      <c r="NAU78" s="278" t="inlineStr"/>
      <c r="NAV78" s="278" t="inlineStr"/>
      <c r="NAW78" s="278" t="inlineStr"/>
      <c r="NAX78" s="278" t="inlineStr"/>
      <c r="NAY78" s="278" t="inlineStr"/>
      <c r="NAZ78" s="278" t="inlineStr"/>
      <c r="NBA78" s="278" t="inlineStr"/>
      <c r="NBB78" s="278" t="inlineStr"/>
      <c r="NBC78" s="278" t="inlineStr"/>
      <c r="NBD78" s="278" t="inlineStr"/>
      <c r="NBE78" s="278" t="inlineStr"/>
      <c r="NBF78" s="278" t="inlineStr"/>
      <c r="NBG78" s="278" t="inlineStr"/>
      <c r="NBH78" s="278" t="inlineStr"/>
      <c r="NBI78" s="278" t="inlineStr"/>
      <c r="NBJ78" s="278" t="inlineStr"/>
      <c r="NBK78" s="278" t="inlineStr"/>
      <c r="NBL78" s="278" t="inlineStr"/>
      <c r="NBM78" s="278" t="inlineStr"/>
      <c r="NBN78" s="278" t="inlineStr"/>
      <c r="NBO78" s="278" t="inlineStr"/>
      <c r="NBP78" s="278" t="inlineStr"/>
      <c r="NBQ78" s="278" t="inlineStr"/>
      <c r="NBR78" s="278" t="inlineStr"/>
      <c r="NBS78" s="278" t="inlineStr"/>
      <c r="NBT78" s="278" t="inlineStr"/>
      <c r="NBU78" s="278" t="inlineStr"/>
      <c r="NBV78" s="278" t="inlineStr"/>
      <c r="NBW78" s="278" t="inlineStr"/>
      <c r="NBX78" s="278" t="inlineStr"/>
      <c r="NBY78" s="278" t="inlineStr"/>
      <c r="NBZ78" s="278" t="inlineStr"/>
      <c r="NCA78" s="278" t="inlineStr"/>
      <c r="NCB78" s="278" t="inlineStr"/>
      <c r="NCC78" s="278" t="inlineStr"/>
      <c r="NCD78" s="278" t="inlineStr"/>
      <c r="NCE78" s="278" t="inlineStr"/>
      <c r="NCF78" s="278" t="inlineStr"/>
      <c r="NCG78" s="278" t="inlineStr"/>
      <c r="NCH78" s="278" t="inlineStr"/>
      <c r="NCI78" s="278" t="inlineStr"/>
      <c r="NCJ78" s="278" t="inlineStr"/>
      <c r="NCK78" s="278" t="inlineStr"/>
      <c r="NCL78" s="278" t="inlineStr"/>
      <c r="NCM78" s="278" t="inlineStr"/>
      <c r="NCN78" s="278" t="inlineStr"/>
      <c r="NCO78" s="278" t="inlineStr"/>
      <c r="NCP78" s="278" t="inlineStr"/>
      <c r="NCQ78" s="278" t="inlineStr"/>
      <c r="NCR78" s="278" t="inlineStr"/>
      <c r="NCS78" s="278" t="inlineStr"/>
      <c r="NCT78" s="278" t="inlineStr"/>
      <c r="NCU78" s="278" t="inlineStr"/>
      <c r="NCV78" s="278" t="inlineStr"/>
      <c r="NCW78" s="278" t="inlineStr"/>
      <c r="NCX78" s="278" t="inlineStr"/>
      <c r="NCY78" s="278" t="inlineStr"/>
      <c r="NCZ78" s="278" t="inlineStr"/>
      <c r="NDA78" s="278" t="inlineStr"/>
      <c r="NDB78" s="278" t="inlineStr"/>
      <c r="NDC78" s="278" t="inlineStr"/>
      <c r="NDD78" s="278" t="inlineStr"/>
      <c r="NDE78" s="278" t="inlineStr"/>
      <c r="NDF78" s="278" t="inlineStr"/>
      <c r="NDG78" s="278" t="inlineStr"/>
      <c r="NDH78" s="278" t="inlineStr"/>
      <c r="NDI78" s="278" t="inlineStr"/>
      <c r="NDJ78" s="278" t="inlineStr"/>
      <c r="NDK78" s="278" t="inlineStr"/>
      <c r="NDL78" s="278" t="inlineStr"/>
      <c r="NDM78" s="278" t="inlineStr"/>
      <c r="NDN78" s="278" t="inlineStr"/>
      <c r="NDO78" s="278" t="inlineStr"/>
      <c r="NDP78" s="278" t="inlineStr"/>
      <c r="NDQ78" s="278" t="inlineStr"/>
      <c r="NDR78" s="278" t="inlineStr"/>
      <c r="NDS78" s="278" t="inlineStr"/>
      <c r="NDT78" s="278" t="inlineStr"/>
      <c r="NDU78" s="278" t="inlineStr"/>
      <c r="NDV78" s="278" t="inlineStr"/>
      <c r="NDW78" s="278" t="inlineStr"/>
      <c r="NDX78" s="278" t="inlineStr"/>
      <c r="NDY78" s="278" t="inlineStr"/>
      <c r="NDZ78" s="278" t="inlineStr"/>
      <c r="NEA78" s="278" t="inlineStr"/>
      <c r="NEB78" s="278" t="inlineStr"/>
      <c r="NEC78" s="278" t="inlineStr"/>
      <c r="NED78" s="278" t="inlineStr"/>
      <c r="NEE78" s="278" t="inlineStr"/>
      <c r="NEF78" s="278" t="inlineStr"/>
      <c r="NEG78" s="278" t="inlineStr"/>
      <c r="NEH78" s="278" t="inlineStr"/>
      <c r="NEI78" s="278" t="inlineStr"/>
      <c r="NEJ78" s="278" t="inlineStr"/>
      <c r="NEK78" s="278" t="inlineStr"/>
      <c r="NEL78" s="278" t="inlineStr"/>
      <c r="NEM78" s="278" t="inlineStr"/>
      <c r="NEN78" s="278" t="inlineStr"/>
      <c r="NEO78" s="278" t="inlineStr"/>
      <c r="NEP78" s="278" t="inlineStr"/>
      <c r="NEQ78" s="278" t="inlineStr"/>
      <c r="NER78" s="278" t="inlineStr"/>
      <c r="NES78" s="278" t="inlineStr"/>
      <c r="NET78" s="278" t="inlineStr"/>
      <c r="NEU78" s="278" t="inlineStr"/>
      <c r="NEV78" s="278" t="inlineStr"/>
      <c r="NEW78" s="278" t="inlineStr"/>
      <c r="NEX78" s="278" t="inlineStr"/>
      <c r="NEY78" s="278" t="inlineStr"/>
      <c r="NEZ78" s="278" t="inlineStr"/>
      <c r="NFA78" s="278" t="inlineStr"/>
      <c r="NFB78" s="278" t="inlineStr"/>
      <c r="NFC78" s="278" t="inlineStr"/>
      <c r="NFD78" s="278" t="inlineStr"/>
      <c r="NFE78" s="278" t="inlineStr"/>
      <c r="NFF78" s="278" t="inlineStr"/>
      <c r="NFG78" s="278" t="inlineStr"/>
      <c r="NFH78" s="278" t="inlineStr"/>
      <c r="NFI78" s="278" t="inlineStr"/>
      <c r="NFJ78" s="278" t="inlineStr"/>
      <c r="NFK78" s="278" t="inlineStr"/>
      <c r="NFL78" s="278" t="inlineStr"/>
      <c r="NFM78" s="278" t="inlineStr"/>
      <c r="NFN78" s="278" t="inlineStr"/>
      <c r="NFO78" s="278" t="inlineStr"/>
      <c r="NFP78" s="278" t="inlineStr"/>
      <c r="NFQ78" s="278" t="inlineStr"/>
      <c r="NFR78" s="278" t="inlineStr"/>
      <c r="NFS78" s="278" t="inlineStr"/>
      <c r="NFT78" s="278" t="inlineStr"/>
      <c r="NFU78" s="278" t="inlineStr"/>
      <c r="NFV78" s="278" t="inlineStr"/>
      <c r="NFW78" s="278" t="inlineStr"/>
      <c r="NFX78" s="278" t="inlineStr"/>
      <c r="NFY78" s="278" t="inlineStr"/>
      <c r="NFZ78" s="278" t="inlineStr"/>
      <c r="NGA78" s="278" t="inlineStr"/>
      <c r="NGB78" s="278" t="inlineStr"/>
      <c r="NGC78" s="278" t="inlineStr"/>
      <c r="NGD78" s="278" t="inlineStr"/>
      <c r="NGE78" s="278" t="inlineStr"/>
      <c r="NGF78" s="278" t="inlineStr"/>
      <c r="NGG78" s="278" t="inlineStr"/>
      <c r="NGH78" s="278" t="inlineStr"/>
      <c r="NGI78" s="278" t="inlineStr"/>
      <c r="NGJ78" s="278" t="inlineStr"/>
      <c r="NGK78" s="278" t="inlineStr"/>
      <c r="NGL78" s="278" t="inlineStr"/>
      <c r="NGM78" s="278" t="inlineStr"/>
      <c r="NGN78" s="278" t="inlineStr"/>
      <c r="NGO78" s="278" t="inlineStr"/>
      <c r="NGP78" s="278" t="inlineStr"/>
      <c r="NGQ78" s="278" t="inlineStr"/>
      <c r="NGR78" s="278" t="inlineStr"/>
      <c r="NGS78" s="278" t="inlineStr"/>
      <c r="NGT78" s="278" t="inlineStr"/>
      <c r="NGU78" s="278" t="inlineStr"/>
      <c r="NGV78" s="278" t="inlineStr"/>
      <c r="NGW78" s="278" t="inlineStr"/>
      <c r="NGX78" s="278" t="inlineStr"/>
      <c r="NGY78" s="278" t="inlineStr"/>
      <c r="NGZ78" s="278" t="inlineStr"/>
      <c r="NHA78" s="278" t="inlineStr"/>
      <c r="NHB78" s="278" t="inlineStr"/>
      <c r="NHC78" s="278" t="inlineStr"/>
      <c r="NHD78" s="278" t="inlineStr"/>
      <c r="NHE78" s="278" t="inlineStr"/>
      <c r="NHF78" s="278" t="inlineStr"/>
      <c r="NHG78" s="278" t="inlineStr"/>
      <c r="NHH78" s="278" t="inlineStr"/>
      <c r="NHI78" s="278" t="inlineStr"/>
      <c r="NHJ78" s="278" t="inlineStr"/>
      <c r="NHK78" s="278" t="inlineStr"/>
      <c r="NHL78" s="278" t="inlineStr"/>
      <c r="NHM78" s="278" t="inlineStr"/>
      <c r="NHN78" s="278" t="inlineStr"/>
      <c r="NHO78" s="278" t="inlineStr"/>
      <c r="NHP78" s="278" t="inlineStr"/>
      <c r="NHQ78" s="278" t="inlineStr"/>
      <c r="NHR78" s="278" t="inlineStr"/>
      <c r="NHS78" s="278" t="inlineStr"/>
      <c r="NHT78" s="278" t="inlineStr"/>
      <c r="NHU78" s="278" t="inlineStr"/>
      <c r="NHV78" s="278" t="inlineStr"/>
      <c r="NHW78" s="278" t="inlineStr"/>
      <c r="NHX78" s="278" t="inlineStr"/>
      <c r="NHY78" s="278" t="inlineStr"/>
      <c r="NHZ78" s="278" t="inlineStr"/>
      <c r="NIA78" s="278" t="inlineStr"/>
      <c r="NIB78" s="278" t="inlineStr"/>
      <c r="NIC78" s="278" t="inlineStr"/>
      <c r="NID78" s="278" t="inlineStr"/>
      <c r="NIE78" s="278" t="inlineStr"/>
      <c r="NIF78" s="278" t="inlineStr"/>
      <c r="NIG78" s="278" t="inlineStr"/>
      <c r="NIH78" s="278" t="inlineStr"/>
      <c r="NII78" s="278" t="inlineStr"/>
      <c r="NIJ78" s="278" t="inlineStr"/>
      <c r="NIK78" s="278" t="inlineStr"/>
      <c r="NIL78" s="278" t="inlineStr"/>
      <c r="NIM78" s="278" t="inlineStr"/>
      <c r="NIN78" s="278" t="inlineStr"/>
      <c r="NIO78" s="278" t="inlineStr"/>
      <c r="NIP78" s="278" t="inlineStr"/>
      <c r="NIQ78" s="278" t="inlineStr"/>
      <c r="NIR78" s="278" t="inlineStr"/>
      <c r="NIS78" s="278" t="inlineStr"/>
      <c r="NIT78" s="278" t="inlineStr"/>
      <c r="NIU78" s="278" t="inlineStr"/>
      <c r="NIV78" s="278" t="inlineStr"/>
      <c r="NIW78" s="278" t="inlineStr"/>
      <c r="NIX78" s="278" t="inlineStr"/>
      <c r="NIY78" s="278" t="inlineStr"/>
      <c r="NIZ78" s="278" t="inlineStr"/>
      <c r="NJA78" s="278" t="inlineStr"/>
      <c r="NJB78" s="278" t="inlineStr"/>
      <c r="NJC78" s="278" t="inlineStr"/>
      <c r="NJD78" s="278" t="inlineStr"/>
      <c r="NJE78" s="278" t="inlineStr"/>
      <c r="NJF78" s="278" t="inlineStr"/>
      <c r="NJG78" s="278" t="inlineStr"/>
      <c r="NJH78" s="278" t="inlineStr"/>
      <c r="NJI78" s="278" t="inlineStr"/>
      <c r="NJJ78" s="278" t="inlineStr"/>
      <c r="NJK78" s="278" t="inlineStr"/>
      <c r="NJL78" s="278" t="inlineStr"/>
      <c r="NJM78" s="278" t="inlineStr"/>
      <c r="NJN78" s="278" t="inlineStr"/>
      <c r="NJO78" s="278" t="inlineStr"/>
      <c r="NJP78" s="278" t="inlineStr"/>
      <c r="NJQ78" s="278" t="inlineStr"/>
      <c r="NJR78" s="278" t="inlineStr"/>
      <c r="NJS78" s="278" t="inlineStr"/>
      <c r="NJT78" s="278" t="inlineStr"/>
      <c r="NJU78" s="278" t="inlineStr"/>
      <c r="NJV78" s="278" t="inlineStr"/>
      <c r="NJW78" s="278" t="inlineStr"/>
      <c r="NJX78" s="278" t="inlineStr"/>
      <c r="NJY78" s="278" t="inlineStr"/>
      <c r="NJZ78" s="278" t="inlineStr"/>
      <c r="NKA78" s="278" t="inlineStr"/>
      <c r="NKB78" s="278" t="inlineStr"/>
      <c r="NKC78" s="278" t="inlineStr"/>
      <c r="NKD78" s="278" t="inlineStr"/>
      <c r="NKE78" s="278" t="inlineStr"/>
      <c r="NKF78" s="278" t="inlineStr"/>
      <c r="NKG78" s="278" t="inlineStr"/>
      <c r="NKH78" s="278" t="inlineStr"/>
      <c r="NKI78" s="278" t="inlineStr"/>
      <c r="NKJ78" s="278" t="inlineStr"/>
      <c r="NKK78" s="278" t="inlineStr"/>
      <c r="NKL78" s="278" t="inlineStr"/>
      <c r="NKM78" s="278" t="inlineStr"/>
      <c r="NKN78" s="278" t="inlineStr"/>
      <c r="NKO78" s="278" t="inlineStr"/>
      <c r="NKP78" s="278" t="inlineStr"/>
      <c r="NKQ78" s="278" t="inlineStr"/>
      <c r="NKR78" s="278" t="inlineStr"/>
      <c r="NKS78" s="278" t="inlineStr"/>
      <c r="NKT78" s="278" t="inlineStr"/>
      <c r="NKU78" s="278" t="inlineStr"/>
      <c r="NKV78" s="278" t="inlineStr"/>
      <c r="NKW78" s="278" t="inlineStr"/>
      <c r="NKX78" s="278" t="inlineStr"/>
      <c r="NKY78" s="278" t="inlineStr"/>
      <c r="NKZ78" s="278" t="inlineStr"/>
      <c r="NLA78" s="278" t="inlineStr"/>
      <c r="NLB78" s="278" t="inlineStr"/>
      <c r="NLC78" s="278" t="inlineStr"/>
      <c r="NLD78" s="278" t="inlineStr"/>
      <c r="NLE78" s="278" t="inlineStr"/>
      <c r="NLF78" s="278" t="inlineStr"/>
      <c r="NLG78" s="278" t="inlineStr"/>
      <c r="NLH78" s="278" t="inlineStr"/>
      <c r="NLI78" s="278" t="inlineStr"/>
      <c r="NLJ78" s="278" t="inlineStr"/>
      <c r="NLK78" s="278" t="inlineStr"/>
      <c r="NLL78" s="278" t="inlineStr"/>
      <c r="NLM78" s="278" t="inlineStr"/>
      <c r="NLN78" s="278" t="inlineStr"/>
      <c r="NLO78" s="278" t="inlineStr"/>
      <c r="NLP78" s="278" t="inlineStr"/>
      <c r="NLQ78" s="278" t="inlineStr"/>
      <c r="NLR78" s="278" t="inlineStr"/>
      <c r="NLS78" s="278" t="inlineStr"/>
      <c r="NLT78" s="278" t="inlineStr"/>
      <c r="NLU78" s="278" t="inlineStr"/>
      <c r="NLV78" s="278" t="inlineStr"/>
      <c r="NLW78" s="278" t="inlineStr"/>
      <c r="NLX78" s="278" t="inlineStr"/>
      <c r="NLY78" s="278" t="inlineStr"/>
      <c r="NLZ78" s="278" t="inlineStr"/>
      <c r="NMA78" s="278" t="inlineStr"/>
      <c r="NMB78" s="278" t="inlineStr"/>
      <c r="NMC78" s="278" t="inlineStr"/>
      <c r="NMD78" s="278" t="inlineStr"/>
      <c r="NME78" s="278" t="inlineStr"/>
      <c r="NMF78" s="278" t="inlineStr"/>
      <c r="NMG78" s="278" t="inlineStr"/>
      <c r="NMH78" s="278" t="inlineStr"/>
      <c r="NMI78" s="278" t="inlineStr"/>
      <c r="NMJ78" s="278" t="inlineStr"/>
      <c r="NMK78" s="278" t="inlineStr"/>
      <c r="NML78" s="278" t="inlineStr"/>
      <c r="NMM78" s="278" t="inlineStr"/>
      <c r="NMN78" s="278" t="inlineStr"/>
      <c r="NMO78" s="278" t="inlineStr"/>
      <c r="NMP78" s="278" t="inlineStr"/>
      <c r="NMQ78" s="278" t="inlineStr"/>
      <c r="NMR78" s="278" t="inlineStr"/>
      <c r="NMS78" s="278" t="inlineStr"/>
      <c r="NMT78" s="278" t="inlineStr"/>
      <c r="NMU78" s="278" t="inlineStr"/>
      <c r="NMV78" s="278" t="inlineStr"/>
      <c r="NMW78" s="278" t="inlineStr"/>
      <c r="NMX78" s="278" t="inlineStr"/>
      <c r="NMY78" s="278" t="inlineStr"/>
      <c r="NMZ78" s="278" t="inlineStr"/>
      <c r="NNA78" s="278" t="inlineStr"/>
      <c r="NNB78" s="278" t="inlineStr"/>
      <c r="NNC78" s="278" t="inlineStr"/>
      <c r="NND78" s="278" t="inlineStr"/>
      <c r="NNE78" s="278" t="inlineStr"/>
      <c r="NNF78" s="278" t="inlineStr"/>
      <c r="NNG78" s="278" t="inlineStr"/>
      <c r="NNH78" s="278" t="inlineStr"/>
      <c r="NNI78" s="278" t="inlineStr"/>
      <c r="NNJ78" s="278" t="inlineStr"/>
      <c r="NNK78" s="278" t="inlineStr"/>
      <c r="NNL78" s="278" t="inlineStr"/>
      <c r="NNM78" s="278" t="inlineStr"/>
      <c r="NNN78" s="278" t="inlineStr"/>
      <c r="NNO78" s="278" t="inlineStr"/>
      <c r="NNP78" s="278" t="inlineStr"/>
      <c r="NNQ78" s="278" t="inlineStr"/>
      <c r="NNR78" s="278" t="inlineStr"/>
      <c r="NNS78" s="278" t="inlineStr"/>
      <c r="NNT78" s="278" t="inlineStr"/>
      <c r="NNU78" s="278" t="inlineStr"/>
      <c r="NNV78" s="278" t="inlineStr"/>
      <c r="NNW78" s="278" t="inlineStr"/>
      <c r="NNX78" s="278" t="inlineStr"/>
      <c r="NNY78" s="278" t="inlineStr"/>
      <c r="NNZ78" s="278" t="inlineStr"/>
      <c r="NOA78" s="278" t="inlineStr"/>
      <c r="NOB78" s="278" t="inlineStr"/>
      <c r="NOC78" s="278" t="inlineStr"/>
      <c r="NOD78" s="278" t="inlineStr"/>
      <c r="NOE78" s="278" t="inlineStr"/>
      <c r="NOF78" s="278" t="inlineStr"/>
      <c r="NOG78" s="278" t="inlineStr"/>
      <c r="NOH78" s="278" t="inlineStr"/>
      <c r="NOI78" s="278" t="inlineStr"/>
      <c r="NOJ78" s="278" t="inlineStr"/>
      <c r="NOK78" s="278" t="inlineStr"/>
      <c r="NOL78" s="278" t="inlineStr"/>
      <c r="NOM78" s="278" t="inlineStr"/>
      <c r="NON78" s="278" t="inlineStr"/>
      <c r="NOO78" s="278" t="inlineStr"/>
      <c r="NOP78" s="278" t="inlineStr"/>
      <c r="NOQ78" s="278" t="inlineStr"/>
      <c r="NOR78" s="278" t="inlineStr"/>
      <c r="NOS78" s="278" t="inlineStr"/>
      <c r="NOT78" s="278" t="inlineStr"/>
      <c r="NOU78" s="278" t="inlineStr"/>
      <c r="NOV78" s="278" t="inlineStr"/>
      <c r="NOW78" s="278" t="inlineStr"/>
      <c r="NOX78" s="278" t="inlineStr"/>
      <c r="NOY78" s="278" t="inlineStr"/>
      <c r="NOZ78" s="278" t="inlineStr"/>
      <c r="NPA78" s="278" t="inlineStr"/>
      <c r="NPB78" s="278" t="inlineStr"/>
      <c r="NPC78" s="278" t="inlineStr"/>
      <c r="NPD78" s="278" t="inlineStr"/>
      <c r="NPE78" s="278" t="inlineStr"/>
      <c r="NPF78" s="278" t="inlineStr"/>
      <c r="NPG78" s="278" t="inlineStr"/>
      <c r="NPH78" s="278" t="inlineStr"/>
      <c r="NPI78" s="278" t="inlineStr"/>
      <c r="NPJ78" s="278" t="inlineStr"/>
      <c r="NPK78" s="278" t="inlineStr"/>
      <c r="NPL78" s="278" t="inlineStr"/>
      <c r="NPM78" s="278" t="inlineStr"/>
      <c r="NPN78" s="278" t="inlineStr"/>
      <c r="NPO78" s="278" t="inlineStr"/>
      <c r="NPP78" s="278" t="inlineStr"/>
      <c r="NPQ78" s="278" t="inlineStr"/>
      <c r="NPR78" s="278" t="inlineStr"/>
      <c r="NPS78" s="278" t="inlineStr"/>
      <c r="NPT78" s="278" t="inlineStr"/>
      <c r="NPU78" s="278" t="inlineStr"/>
      <c r="NPV78" s="278" t="inlineStr"/>
      <c r="NPW78" s="278" t="inlineStr"/>
      <c r="NPX78" s="278" t="inlineStr"/>
      <c r="NPY78" s="278" t="inlineStr"/>
      <c r="NPZ78" s="278" t="inlineStr"/>
      <c r="NQA78" s="278" t="inlineStr"/>
      <c r="NQB78" s="278" t="inlineStr"/>
      <c r="NQC78" s="278" t="inlineStr"/>
      <c r="NQD78" s="278" t="inlineStr"/>
      <c r="NQE78" s="278" t="inlineStr"/>
      <c r="NQF78" s="278" t="inlineStr"/>
      <c r="NQG78" s="278" t="inlineStr"/>
      <c r="NQH78" s="278" t="inlineStr"/>
      <c r="NQI78" s="278" t="inlineStr"/>
      <c r="NQJ78" s="278" t="inlineStr"/>
      <c r="NQK78" s="278" t="inlineStr"/>
      <c r="NQL78" s="278" t="inlineStr"/>
      <c r="NQM78" s="278" t="inlineStr"/>
      <c r="NQN78" s="278" t="inlineStr"/>
      <c r="NQO78" s="278" t="inlineStr"/>
      <c r="NQP78" s="278" t="inlineStr"/>
      <c r="NQQ78" s="278" t="inlineStr"/>
      <c r="NQR78" s="278" t="inlineStr"/>
      <c r="NQS78" s="278" t="inlineStr"/>
      <c r="NQT78" s="278" t="inlineStr"/>
      <c r="NQU78" s="278" t="inlineStr"/>
      <c r="NQV78" s="278" t="inlineStr"/>
      <c r="NQW78" s="278" t="inlineStr"/>
      <c r="NQX78" s="278" t="inlineStr"/>
      <c r="NQY78" s="278" t="inlineStr"/>
      <c r="NQZ78" s="278" t="inlineStr"/>
      <c r="NRA78" s="278" t="inlineStr"/>
      <c r="NRB78" s="278" t="inlineStr"/>
      <c r="NRC78" s="278" t="inlineStr"/>
      <c r="NRD78" s="278" t="inlineStr"/>
      <c r="NRE78" s="278" t="inlineStr"/>
      <c r="NRF78" s="278" t="inlineStr"/>
      <c r="NRG78" s="278" t="inlineStr"/>
      <c r="NRH78" s="278" t="inlineStr"/>
      <c r="NRI78" s="278" t="inlineStr"/>
      <c r="NRJ78" s="278" t="inlineStr"/>
      <c r="NRK78" s="278" t="inlineStr"/>
      <c r="NRL78" s="278" t="inlineStr"/>
      <c r="NRM78" s="278" t="inlineStr"/>
      <c r="NRN78" s="278" t="inlineStr"/>
      <c r="NRO78" s="278" t="inlineStr"/>
      <c r="NRP78" s="278" t="inlineStr"/>
      <c r="NRQ78" s="278" t="inlineStr"/>
      <c r="NRR78" s="278" t="inlineStr"/>
      <c r="NRS78" s="278" t="inlineStr"/>
      <c r="NRT78" s="278" t="inlineStr"/>
      <c r="NRU78" s="278" t="inlineStr"/>
      <c r="NRV78" s="278" t="inlineStr"/>
      <c r="NRW78" s="278" t="inlineStr"/>
      <c r="NRX78" s="278" t="inlineStr"/>
      <c r="NRY78" s="278" t="inlineStr"/>
      <c r="NRZ78" s="278" t="inlineStr"/>
      <c r="NSA78" s="278" t="inlineStr"/>
      <c r="NSB78" s="278" t="inlineStr"/>
      <c r="NSC78" s="278" t="inlineStr"/>
      <c r="NSD78" s="278" t="inlineStr"/>
      <c r="NSE78" s="278" t="inlineStr"/>
      <c r="NSF78" s="278" t="inlineStr"/>
      <c r="NSG78" s="278" t="inlineStr"/>
      <c r="NSH78" s="278" t="inlineStr"/>
      <c r="NSI78" s="278" t="inlineStr"/>
      <c r="NSJ78" s="278" t="inlineStr"/>
      <c r="NSK78" s="278" t="inlineStr"/>
      <c r="NSL78" s="278" t="inlineStr"/>
      <c r="NSM78" s="278" t="inlineStr"/>
      <c r="NSN78" s="278" t="inlineStr"/>
      <c r="NSO78" s="278" t="inlineStr"/>
      <c r="NSP78" s="278" t="inlineStr"/>
      <c r="NSQ78" s="278" t="inlineStr"/>
      <c r="NSR78" s="278" t="inlineStr"/>
      <c r="NSS78" s="278" t="inlineStr"/>
      <c r="NST78" s="278" t="inlineStr"/>
      <c r="NSU78" s="278" t="inlineStr"/>
      <c r="NSV78" s="278" t="inlineStr"/>
      <c r="NSW78" s="278" t="inlineStr"/>
      <c r="NSX78" s="278" t="inlineStr"/>
      <c r="NSY78" s="278" t="inlineStr"/>
      <c r="NSZ78" s="278" t="inlineStr"/>
      <c r="NTA78" s="278" t="inlineStr"/>
      <c r="NTB78" s="278" t="inlineStr"/>
      <c r="NTC78" s="278" t="inlineStr"/>
      <c r="NTD78" s="278" t="inlineStr"/>
      <c r="NTE78" s="278" t="inlineStr"/>
      <c r="NTF78" s="278" t="inlineStr"/>
      <c r="NTG78" s="278" t="inlineStr"/>
      <c r="NTH78" s="278" t="inlineStr"/>
      <c r="NTI78" s="278" t="inlineStr"/>
      <c r="NTJ78" s="278" t="inlineStr"/>
      <c r="NTK78" s="278" t="inlineStr"/>
      <c r="NTL78" s="278" t="inlineStr"/>
      <c r="NTM78" s="278" t="inlineStr"/>
      <c r="NTN78" s="278" t="inlineStr"/>
      <c r="NTO78" s="278" t="inlineStr"/>
      <c r="NTP78" s="278" t="inlineStr"/>
      <c r="NTQ78" s="278" t="inlineStr"/>
      <c r="NTR78" s="278" t="inlineStr"/>
      <c r="NTS78" s="278" t="inlineStr"/>
      <c r="NTT78" s="278" t="inlineStr"/>
      <c r="NTU78" s="278" t="inlineStr"/>
      <c r="NTV78" s="278" t="inlineStr"/>
      <c r="NTW78" s="278" t="inlineStr"/>
      <c r="NTX78" s="278" t="inlineStr"/>
      <c r="NTY78" s="278" t="inlineStr"/>
      <c r="NTZ78" s="278" t="inlineStr"/>
      <c r="NUA78" s="278" t="inlineStr"/>
      <c r="NUB78" s="278" t="inlineStr"/>
      <c r="NUC78" s="278" t="inlineStr"/>
      <c r="NUD78" s="278" t="inlineStr"/>
      <c r="NUE78" s="278" t="inlineStr"/>
      <c r="NUF78" s="278" t="inlineStr"/>
      <c r="NUG78" s="278" t="inlineStr"/>
      <c r="NUH78" s="278" t="inlineStr"/>
      <c r="NUI78" s="278" t="inlineStr"/>
      <c r="NUJ78" s="278" t="inlineStr"/>
      <c r="NUK78" s="278" t="inlineStr"/>
      <c r="NUL78" s="278" t="inlineStr"/>
      <c r="NUM78" s="278" t="inlineStr"/>
      <c r="NUN78" s="278" t="inlineStr"/>
      <c r="NUO78" s="278" t="inlineStr"/>
      <c r="NUP78" s="278" t="inlineStr"/>
      <c r="NUQ78" s="278" t="inlineStr"/>
      <c r="NUR78" s="278" t="inlineStr"/>
      <c r="NUS78" s="278" t="inlineStr"/>
      <c r="NUT78" s="278" t="inlineStr"/>
      <c r="NUU78" s="278" t="inlineStr"/>
      <c r="NUV78" s="278" t="inlineStr"/>
      <c r="NUW78" s="278" t="inlineStr"/>
      <c r="NUX78" s="278" t="inlineStr"/>
      <c r="NUY78" s="278" t="inlineStr"/>
      <c r="NUZ78" s="278" t="inlineStr"/>
      <c r="NVA78" s="278" t="inlineStr"/>
      <c r="NVB78" s="278" t="inlineStr"/>
      <c r="NVC78" s="278" t="inlineStr"/>
      <c r="NVD78" s="278" t="inlineStr"/>
      <c r="NVE78" s="278" t="inlineStr"/>
      <c r="NVF78" s="278" t="inlineStr"/>
      <c r="NVG78" s="278" t="inlineStr"/>
      <c r="NVH78" s="278" t="inlineStr"/>
      <c r="NVI78" s="278" t="inlineStr"/>
      <c r="NVJ78" s="278" t="inlineStr"/>
      <c r="NVK78" s="278" t="inlineStr"/>
      <c r="NVL78" s="278" t="inlineStr"/>
      <c r="NVM78" s="278" t="inlineStr"/>
      <c r="NVN78" s="278" t="inlineStr"/>
      <c r="NVO78" s="278" t="inlineStr"/>
      <c r="NVP78" s="278" t="inlineStr"/>
      <c r="NVQ78" s="278" t="inlineStr"/>
      <c r="NVR78" s="278" t="inlineStr"/>
      <c r="NVS78" s="278" t="inlineStr"/>
      <c r="NVT78" s="278" t="inlineStr"/>
      <c r="NVU78" s="278" t="inlineStr"/>
      <c r="NVV78" s="278" t="inlineStr"/>
      <c r="NVW78" s="278" t="inlineStr"/>
      <c r="NVX78" s="278" t="inlineStr"/>
      <c r="NVY78" s="278" t="inlineStr"/>
      <c r="NVZ78" s="278" t="inlineStr"/>
      <c r="NWA78" s="278" t="inlineStr"/>
      <c r="NWB78" s="278" t="inlineStr"/>
      <c r="NWC78" s="278" t="inlineStr"/>
      <c r="NWD78" s="278" t="inlineStr"/>
      <c r="NWE78" s="278" t="inlineStr"/>
      <c r="NWF78" s="278" t="inlineStr"/>
      <c r="NWG78" s="278" t="inlineStr"/>
      <c r="NWH78" s="278" t="inlineStr"/>
      <c r="NWI78" s="278" t="inlineStr"/>
      <c r="NWJ78" s="278" t="inlineStr"/>
      <c r="NWK78" s="278" t="inlineStr"/>
      <c r="NWL78" s="278" t="inlineStr"/>
      <c r="NWM78" s="278" t="inlineStr"/>
      <c r="NWN78" s="278" t="inlineStr"/>
      <c r="NWO78" s="278" t="inlineStr"/>
      <c r="NWP78" s="278" t="inlineStr"/>
      <c r="NWQ78" s="278" t="inlineStr"/>
      <c r="NWR78" s="278" t="inlineStr"/>
      <c r="NWS78" s="278" t="inlineStr"/>
      <c r="NWT78" s="278" t="inlineStr"/>
      <c r="NWU78" s="278" t="inlineStr"/>
      <c r="NWV78" s="278" t="inlineStr"/>
      <c r="NWW78" s="278" t="inlineStr"/>
      <c r="NWX78" s="278" t="inlineStr"/>
      <c r="NWY78" s="278" t="inlineStr"/>
      <c r="NWZ78" s="278" t="inlineStr"/>
      <c r="NXA78" s="278" t="inlineStr"/>
      <c r="NXB78" s="278" t="inlineStr"/>
      <c r="NXC78" s="278" t="inlineStr"/>
      <c r="NXD78" s="278" t="inlineStr"/>
      <c r="NXE78" s="278" t="inlineStr"/>
      <c r="NXF78" s="278" t="inlineStr"/>
      <c r="NXG78" s="278" t="inlineStr"/>
      <c r="NXH78" s="278" t="inlineStr"/>
      <c r="NXI78" s="278" t="inlineStr"/>
      <c r="NXJ78" s="278" t="inlineStr"/>
      <c r="NXK78" s="278" t="inlineStr"/>
      <c r="NXL78" s="278" t="inlineStr"/>
      <c r="NXM78" s="278" t="inlineStr"/>
      <c r="NXN78" s="278" t="inlineStr"/>
      <c r="NXO78" s="278" t="inlineStr"/>
      <c r="NXP78" s="278" t="inlineStr"/>
      <c r="NXQ78" s="278" t="inlineStr"/>
      <c r="NXR78" s="278" t="inlineStr"/>
      <c r="NXS78" s="278" t="inlineStr"/>
      <c r="NXT78" s="278" t="inlineStr"/>
      <c r="NXU78" s="278" t="inlineStr"/>
      <c r="NXV78" s="278" t="inlineStr"/>
      <c r="NXW78" s="278" t="inlineStr"/>
      <c r="NXX78" s="278" t="inlineStr"/>
      <c r="NXY78" s="278" t="inlineStr"/>
      <c r="NXZ78" s="278" t="inlineStr"/>
      <c r="NYA78" s="278" t="inlineStr"/>
      <c r="NYB78" s="278" t="inlineStr"/>
      <c r="NYC78" s="278" t="inlineStr"/>
      <c r="NYD78" s="278" t="inlineStr"/>
      <c r="NYE78" s="278" t="inlineStr"/>
      <c r="NYF78" s="278" t="inlineStr"/>
      <c r="NYG78" s="278" t="inlineStr"/>
      <c r="NYH78" s="278" t="inlineStr"/>
      <c r="NYI78" s="278" t="inlineStr"/>
      <c r="NYJ78" s="278" t="inlineStr"/>
      <c r="NYK78" s="278" t="inlineStr"/>
      <c r="NYL78" s="278" t="inlineStr"/>
      <c r="NYM78" s="278" t="inlineStr"/>
      <c r="NYN78" s="278" t="inlineStr"/>
      <c r="NYO78" s="278" t="inlineStr"/>
      <c r="NYP78" s="278" t="inlineStr"/>
      <c r="NYQ78" s="278" t="inlineStr"/>
      <c r="NYR78" s="278" t="inlineStr"/>
      <c r="NYS78" s="278" t="inlineStr"/>
      <c r="NYT78" s="278" t="inlineStr"/>
      <c r="NYU78" s="278" t="inlineStr"/>
      <c r="NYV78" s="278" t="inlineStr"/>
      <c r="NYW78" s="278" t="inlineStr"/>
      <c r="NYX78" s="278" t="inlineStr"/>
      <c r="NYY78" s="278" t="inlineStr"/>
      <c r="NYZ78" s="278" t="inlineStr"/>
      <c r="NZA78" s="278" t="inlineStr"/>
      <c r="NZB78" s="278" t="inlineStr"/>
      <c r="NZC78" s="278" t="inlineStr"/>
      <c r="NZD78" s="278" t="inlineStr"/>
      <c r="NZE78" s="278" t="inlineStr"/>
      <c r="NZF78" s="278" t="inlineStr"/>
      <c r="NZG78" s="278" t="inlineStr"/>
      <c r="NZH78" s="278" t="inlineStr"/>
      <c r="NZI78" s="278" t="inlineStr"/>
      <c r="NZJ78" s="278" t="inlineStr"/>
      <c r="NZK78" s="278" t="inlineStr"/>
      <c r="NZL78" s="278" t="inlineStr"/>
      <c r="NZM78" s="278" t="inlineStr"/>
      <c r="NZN78" s="278" t="inlineStr"/>
      <c r="NZO78" s="278" t="inlineStr"/>
      <c r="NZP78" s="278" t="inlineStr"/>
      <c r="NZQ78" s="278" t="inlineStr"/>
      <c r="NZR78" s="278" t="inlineStr"/>
      <c r="NZS78" s="278" t="inlineStr"/>
      <c r="NZT78" s="278" t="inlineStr"/>
      <c r="NZU78" s="278" t="inlineStr"/>
      <c r="NZV78" s="278" t="inlineStr"/>
      <c r="NZW78" s="278" t="inlineStr"/>
      <c r="NZX78" s="278" t="inlineStr"/>
      <c r="NZY78" s="278" t="inlineStr"/>
      <c r="NZZ78" s="278" t="inlineStr"/>
      <c r="OAA78" s="278" t="inlineStr"/>
      <c r="OAB78" s="278" t="inlineStr"/>
      <c r="OAC78" s="278" t="inlineStr"/>
      <c r="OAD78" s="278" t="inlineStr"/>
      <c r="OAE78" s="278" t="inlineStr"/>
      <c r="OAF78" s="278" t="inlineStr"/>
      <c r="OAG78" s="278" t="inlineStr"/>
      <c r="OAH78" s="278" t="inlineStr"/>
      <c r="OAI78" s="278" t="inlineStr"/>
      <c r="OAJ78" s="278" t="inlineStr"/>
      <c r="OAK78" s="278" t="inlineStr"/>
      <c r="OAL78" s="278" t="inlineStr"/>
      <c r="OAM78" s="278" t="inlineStr"/>
      <c r="OAN78" s="278" t="inlineStr"/>
      <c r="OAO78" s="278" t="inlineStr"/>
      <c r="OAP78" s="278" t="inlineStr"/>
      <c r="OAQ78" s="278" t="inlineStr"/>
      <c r="OAR78" s="278" t="inlineStr"/>
      <c r="OAS78" s="278" t="inlineStr"/>
      <c r="OAT78" s="278" t="inlineStr"/>
      <c r="OAU78" s="278" t="inlineStr"/>
      <c r="OAV78" s="278" t="inlineStr"/>
      <c r="OAW78" s="278" t="inlineStr"/>
      <c r="OAX78" s="278" t="inlineStr"/>
      <c r="OAY78" s="278" t="inlineStr"/>
      <c r="OAZ78" s="278" t="inlineStr"/>
      <c r="OBA78" s="278" t="inlineStr"/>
      <c r="OBB78" s="278" t="inlineStr"/>
      <c r="OBC78" s="278" t="inlineStr"/>
      <c r="OBD78" s="278" t="inlineStr"/>
      <c r="OBE78" s="278" t="inlineStr"/>
      <c r="OBF78" s="278" t="inlineStr"/>
      <c r="OBG78" s="278" t="inlineStr"/>
      <c r="OBH78" s="278" t="inlineStr"/>
      <c r="OBI78" s="278" t="inlineStr"/>
      <c r="OBJ78" s="278" t="inlineStr"/>
      <c r="OBK78" s="278" t="inlineStr"/>
      <c r="OBL78" s="278" t="inlineStr"/>
      <c r="OBM78" s="278" t="inlineStr"/>
      <c r="OBN78" s="278" t="inlineStr"/>
      <c r="OBO78" s="278" t="inlineStr"/>
      <c r="OBP78" s="278" t="inlineStr"/>
      <c r="OBQ78" s="278" t="inlineStr"/>
      <c r="OBR78" s="278" t="inlineStr"/>
      <c r="OBS78" s="278" t="inlineStr"/>
      <c r="OBT78" s="278" t="inlineStr"/>
      <c r="OBU78" s="278" t="inlineStr"/>
      <c r="OBV78" s="278" t="inlineStr"/>
      <c r="OBW78" s="278" t="inlineStr"/>
      <c r="OBX78" s="278" t="inlineStr"/>
      <c r="OBY78" s="278" t="inlineStr"/>
      <c r="OBZ78" s="278" t="inlineStr"/>
      <c r="OCA78" s="278" t="inlineStr"/>
      <c r="OCB78" s="278" t="inlineStr"/>
      <c r="OCC78" s="278" t="inlineStr"/>
      <c r="OCD78" s="278" t="inlineStr"/>
      <c r="OCE78" s="278" t="inlineStr"/>
      <c r="OCF78" s="278" t="inlineStr"/>
      <c r="OCG78" s="278" t="inlineStr"/>
      <c r="OCH78" s="278" t="inlineStr"/>
      <c r="OCI78" s="278" t="inlineStr"/>
      <c r="OCJ78" s="278" t="inlineStr"/>
      <c r="OCK78" s="278" t="inlineStr"/>
      <c r="OCL78" s="278" t="inlineStr"/>
      <c r="OCM78" s="278" t="inlineStr"/>
      <c r="OCN78" s="278" t="inlineStr"/>
      <c r="OCO78" s="278" t="inlineStr"/>
      <c r="OCP78" s="278" t="inlineStr"/>
      <c r="OCQ78" s="278" t="inlineStr"/>
      <c r="OCR78" s="278" t="inlineStr"/>
      <c r="OCS78" s="278" t="inlineStr"/>
      <c r="OCT78" s="278" t="inlineStr"/>
      <c r="OCU78" s="278" t="inlineStr"/>
      <c r="OCV78" s="278" t="inlineStr"/>
      <c r="OCW78" s="278" t="inlineStr"/>
      <c r="OCX78" s="278" t="inlineStr"/>
      <c r="OCY78" s="278" t="inlineStr"/>
      <c r="OCZ78" s="278" t="inlineStr"/>
      <c r="ODA78" s="278" t="inlineStr"/>
      <c r="ODB78" s="278" t="inlineStr"/>
      <c r="ODC78" s="278" t="inlineStr"/>
      <c r="ODD78" s="278" t="inlineStr"/>
      <c r="ODE78" s="278" t="inlineStr"/>
      <c r="ODF78" s="278" t="inlineStr"/>
      <c r="ODG78" s="278" t="inlineStr"/>
      <c r="ODH78" s="278" t="inlineStr"/>
      <c r="ODI78" s="278" t="inlineStr"/>
      <c r="ODJ78" s="278" t="inlineStr"/>
      <c r="ODK78" s="278" t="inlineStr"/>
      <c r="ODL78" s="278" t="inlineStr"/>
      <c r="ODM78" s="278" t="inlineStr"/>
      <c r="ODN78" s="278" t="inlineStr"/>
      <c r="ODO78" s="278" t="inlineStr"/>
      <c r="ODP78" s="278" t="inlineStr"/>
      <c r="ODQ78" s="278" t="inlineStr"/>
      <c r="ODR78" s="278" t="inlineStr"/>
      <c r="ODS78" s="278" t="inlineStr"/>
      <c r="ODT78" s="278" t="inlineStr"/>
      <c r="ODU78" s="278" t="inlineStr"/>
      <c r="ODV78" s="278" t="inlineStr"/>
      <c r="ODW78" s="278" t="inlineStr"/>
      <c r="ODX78" s="278" t="inlineStr"/>
      <c r="ODY78" s="278" t="inlineStr"/>
      <c r="ODZ78" s="278" t="inlineStr"/>
      <c r="OEA78" s="278" t="inlineStr"/>
      <c r="OEB78" s="278" t="inlineStr"/>
      <c r="OEC78" s="278" t="inlineStr"/>
      <c r="OED78" s="278" t="inlineStr"/>
      <c r="OEE78" s="278" t="inlineStr"/>
      <c r="OEF78" s="278" t="inlineStr"/>
      <c r="OEG78" s="278" t="inlineStr"/>
      <c r="OEH78" s="278" t="inlineStr"/>
      <c r="OEI78" s="278" t="inlineStr"/>
      <c r="OEJ78" s="278" t="inlineStr"/>
      <c r="OEK78" s="278" t="inlineStr"/>
      <c r="OEL78" s="278" t="inlineStr"/>
      <c r="OEM78" s="278" t="inlineStr"/>
      <c r="OEN78" s="278" t="inlineStr"/>
      <c r="OEO78" s="278" t="inlineStr"/>
      <c r="OEP78" s="278" t="inlineStr"/>
      <c r="OEQ78" s="278" t="inlineStr"/>
      <c r="OER78" s="278" t="inlineStr"/>
      <c r="OES78" s="278" t="inlineStr"/>
      <c r="OET78" s="278" t="inlineStr"/>
      <c r="OEU78" s="278" t="inlineStr"/>
      <c r="OEV78" s="278" t="inlineStr"/>
      <c r="OEW78" s="278" t="inlineStr"/>
      <c r="OEX78" s="278" t="inlineStr"/>
      <c r="OEY78" s="278" t="inlineStr"/>
      <c r="OEZ78" s="278" t="inlineStr"/>
      <c r="OFA78" s="278" t="inlineStr"/>
      <c r="OFB78" s="278" t="inlineStr"/>
      <c r="OFC78" s="278" t="inlineStr"/>
      <c r="OFD78" s="278" t="inlineStr"/>
      <c r="OFE78" s="278" t="inlineStr"/>
      <c r="OFF78" s="278" t="inlineStr"/>
      <c r="OFG78" s="278" t="inlineStr"/>
      <c r="OFH78" s="278" t="inlineStr"/>
      <c r="OFI78" s="278" t="inlineStr"/>
      <c r="OFJ78" s="278" t="inlineStr"/>
      <c r="OFK78" s="278" t="inlineStr"/>
      <c r="OFL78" s="278" t="inlineStr"/>
      <c r="OFM78" s="278" t="inlineStr"/>
      <c r="OFN78" s="278" t="inlineStr"/>
      <c r="OFO78" s="278" t="inlineStr"/>
      <c r="OFP78" s="278" t="inlineStr"/>
      <c r="OFQ78" s="278" t="inlineStr"/>
      <c r="OFR78" s="278" t="inlineStr"/>
      <c r="OFS78" s="278" t="inlineStr"/>
      <c r="OFT78" s="278" t="inlineStr"/>
      <c r="OFU78" s="278" t="inlineStr"/>
      <c r="OFV78" s="278" t="inlineStr"/>
      <c r="OFW78" s="278" t="inlineStr"/>
      <c r="OFX78" s="278" t="inlineStr"/>
      <c r="OFY78" s="278" t="inlineStr"/>
      <c r="OFZ78" s="278" t="inlineStr"/>
      <c r="OGA78" s="278" t="inlineStr"/>
      <c r="OGB78" s="278" t="inlineStr"/>
      <c r="OGC78" s="278" t="inlineStr"/>
      <c r="OGD78" s="278" t="inlineStr"/>
      <c r="OGE78" s="278" t="inlineStr"/>
      <c r="OGF78" s="278" t="inlineStr"/>
      <c r="OGG78" s="278" t="inlineStr"/>
      <c r="OGH78" s="278" t="inlineStr"/>
      <c r="OGI78" s="278" t="inlineStr"/>
      <c r="OGJ78" s="278" t="inlineStr"/>
      <c r="OGK78" s="278" t="inlineStr"/>
      <c r="OGL78" s="278" t="inlineStr"/>
      <c r="OGM78" s="278" t="inlineStr"/>
      <c r="OGN78" s="278" t="inlineStr"/>
      <c r="OGO78" s="278" t="inlineStr"/>
      <c r="OGP78" s="278" t="inlineStr"/>
      <c r="OGQ78" s="278" t="inlineStr"/>
      <c r="OGR78" s="278" t="inlineStr"/>
      <c r="OGS78" s="278" t="inlineStr"/>
      <c r="OGT78" s="278" t="inlineStr"/>
      <c r="OGU78" s="278" t="inlineStr"/>
      <c r="OGV78" s="278" t="inlineStr"/>
      <c r="OGW78" s="278" t="inlineStr"/>
      <c r="OGX78" s="278" t="inlineStr"/>
      <c r="OGY78" s="278" t="inlineStr"/>
      <c r="OGZ78" s="278" t="inlineStr"/>
      <c r="OHA78" s="278" t="inlineStr"/>
      <c r="OHB78" s="278" t="inlineStr"/>
      <c r="OHC78" s="278" t="inlineStr"/>
      <c r="OHD78" s="278" t="inlineStr"/>
      <c r="OHE78" s="278" t="inlineStr"/>
      <c r="OHF78" s="278" t="inlineStr"/>
      <c r="OHG78" s="278" t="inlineStr"/>
      <c r="OHH78" s="278" t="inlineStr"/>
      <c r="OHI78" s="278" t="inlineStr"/>
      <c r="OHJ78" s="278" t="inlineStr"/>
      <c r="OHK78" s="278" t="inlineStr"/>
      <c r="OHL78" s="278" t="inlineStr"/>
      <c r="OHM78" s="278" t="inlineStr"/>
      <c r="OHN78" s="278" t="inlineStr"/>
      <c r="OHO78" s="278" t="inlineStr"/>
      <c r="OHP78" s="278" t="inlineStr"/>
      <c r="OHQ78" s="278" t="inlineStr"/>
      <c r="OHR78" s="278" t="inlineStr"/>
      <c r="OHS78" s="278" t="inlineStr"/>
      <c r="OHT78" s="278" t="inlineStr"/>
      <c r="OHU78" s="278" t="inlineStr"/>
      <c r="OHV78" s="278" t="inlineStr"/>
      <c r="OHW78" s="278" t="inlineStr"/>
      <c r="OHX78" s="278" t="inlineStr"/>
      <c r="OHY78" s="278" t="inlineStr"/>
      <c r="OHZ78" s="278" t="inlineStr"/>
      <c r="OIA78" s="278" t="inlineStr"/>
      <c r="OIB78" s="278" t="inlineStr"/>
      <c r="OIC78" s="278" t="inlineStr"/>
      <c r="OID78" s="278" t="inlineStr"/>
      <c r="OIE78" s="278" t="inlineStr"/>
      <c r="OIF78" s="278" t="inlineStr"/>
      <c r="OIG78" s="278" t="inlineStr"/>
      <c r="OIH78" s="278" t="inlineStr"/>
      <c r="OII78" s="278" t="inlineStr"/>
      <c r="OIJ78" s="278" t="inlineStr"/>
      <c r="OIK78" s="278" t="inlineStr"/>
      <c r="OIL78" s="278" t="inlineStr"/>
      <c r="OIM78" s="278" t="inlineStr"/>
      <c r="OIN78" s="278" t="inlineStr"/>
      <c r="OIO78" s="278" t="inlineStr"/>
      <c r="OIP78" s="278" t="inlineStr"/>
      <c r="OIQ78" s="278" t="inlineStr"/>
      <c r="OIR78" s="278" t="inlineStr"/>
      <c r="OIS78" s="278" t="inlineStr"/>
      <c r="OIT78" s="278" t="inlineStr"/>
      <c r="OIU78" s="278" t="inlineStr"/>
      <c r="OIV78" s="278" t="inlineStr"/>
      <c r="OIW78" s="278" t="inlineStr"/>
      <c r="OIX78" s="278" t="inlineStr"/>
      <c r="OIY78" s="278" t="inlineStr"/>
      <c r="OIZ78" s="278" t="inlineStr"/>
      <c r="OJA78" s="278" t="inlineStr"/>
      <c r="OJB78" s="278" t="inlineStr"/>
      <c r="OJC78" s="278" t="inlineStr"/>
      <c r="OJD78" s="278" t="inlineStr"/>
      <c r="OJE78" s="278" t="inlineStr"/>
      <c r="OJF78" s="278" t="inlineStr"/>
      <c r="OJG78" s="278" t="inlineStr"/>
      <c r="OJH78" s="278" t="inlineStr"/>
      <c r="OJI78" s="278" t="inlineStr"/>
      <c r="OJJ78" s="278" t="inlineStr"/>
      <c r="OJK78" s="278" t="inlineStr"/>
      <c r="OJL78" s="278" t="inlineStr"/>
      <c r="OJM78" s="278" t="inlineStr"/>
      <c r="OJN78" s="278" t="inlineStr"/>
      <c r="OJO78" s="278" t="inlineStr"/>
      <c r="OJP78" s="278" t="inlineStr"/>
      <c r="OJQ78" s="278" t="inlineStr"/>
      <c r="OJR78" s="278" t="inlineStr"/>
      <c r="OJS78" s="278" t="inlineStr"/>
      <c r="OJT78" s="278" t="inlineStr"/>
      <c r="OJU78" s="278" t="inlineStr"/>
      <c r="OJV78" s="278" t="inlineStr"/>
      <c r="OJW78" s="278" t="inlineStr"/>
      <c r="OJX78" s="278" t="inlineStr"/>
      <c r="OJY78" s="278" t="inlineStr"/>
      <c r="OJZ78" s="278" t="inlineStr"/>
      <c r="OKA78" s="278" t="inlineStr"/>
      <c r="OKB78" s="278" t="inlineStr"/>
      <c r="OKC78" s="278" t="inlineStr"/>
      <c r="OKD78" s="278" t="inlineStr"/>
      <c r="OKE78" s="278" t="inlineStr"/>
      <c r="OKF78" s="278" t="inlineStr"/>
      <c r="OKG78" s="278" t="inlineStr"/>
      <c r="OKH78" s="278" t="inlineStr"/>
      <c r="OKI78" s="278" t="inlineStr"/>
      <c r="OKJ78" s="278" t="inlineStr"/>
      <c r="OKK78" s="278" t="inlineStr"/>
      <c r="OKL78" s="278" t="inlineStr"/>
      <c r="OKM78" s="278" t="inlineStr"/>
      <c r="OKN78" s="278" t="inlineStr"/>
      <c r="OKO78" s="278" t="inlineStr"/>
      <c r="OKP78" s="278" t="inlineStr"/>
      <c r="OKQ78" s="278" t="inlineStr"/>
      <c r="OKR78" s="278" t="inlineStr"/>
      <c r="OKS78" s="278" t="inlineStr"/>
      <c r="OKT78" s="278" t="inlineStr"/>
      <c r="OKU78" s="278" t="inlineStr"/>
      <c r="OKV78" s="278" t="inlineStr"/>
      <c r="OKW78" s="278" t="inlineStr"/>
      <c r="OKX78" s="278" t="inlineStr"/>
      <c r="OKY78" s="278" t="inlineStr"/>
      <c r="OKZ78" s="278" t="inlineStr"/>
      <c r="OLA78" s="278" t="inlineStr"/>
      <c r="OLB78" s="278" t="inlineStr"/>
      <c r="OLC78" s="278" t="inlineStr"/>
      <c r="OLD78" s="278" t="inlineStr"/>
      <c r="OLE78" s="278" t="inlineStr"/>
      <c r="OLF78" s="278" t="inlineStr"/>
      <c r="OLG78" s="278" t="inlineStr"/>
      <c r="OLH78" s="278" t="inlineStr"/>
      <c r="OLI78" s="278" t="inlineStr"/>
      <c r="OLJ78" s="278" t="inlineStr"/>
      <c r="OLK78" s="278" t="inlineStr"/>
      <c r="OLL78" s="278" t="inlineStr"/>
      <c r="OLM78" s="278" t="inlineStr"/>
      <c r="OLN78" s="278" t="inlineStr"/>
      <c r="OLO78" s="278" t="inlineStr"/>
      <c r="OLP78" s="278" t="inlineStr"/>
      <c r="OLQ78" s="278" t="inlineStr"/>
      <c r="OLR78" s="278" t="inlineStr"/>
      <c r="OLS78" s="278" t="inlineStr"/>
      <c r="OLT78" s="278" t="inlineStr"/>
      <c r="OLU78" s="278" t="inlineStr"/>
      <c r="OLV78" s="278" t="inlineStr"/>
      <c r="OLW78" s="278" t="inlineStr"/>
      <c r="OLX78" s="278" t="inlineStr"/>
      <c r="OLY78" s="278" t="inlineStr"/>
      <c r="OLZ78" s="278" t="inlineStr"/>
      <c r="OMA78" s="278" t="inlineStr"/>
      <c r="OMB78" s="278" t="inlineStr"/>
      <c r="OMC78" s="278" t="inlineStr"/>
      <c r="OMD78" s="278" t="inlineStr"/>
      <c r="OME78" s="278" t="inlineStr"/>
      <c r="OMF78" s="278" t="inlineStr"/>
      <c r="OMG78" s="278" t="inlineStr"/>
      <c r="OMH78" s="278" t="inlineStr"/>
      <c r="OMI78" s="278" t="inlineStr"/>
      <c r="OMJ78" s="278" t="inlineStr"/>
      <c r="OMK78" s="278" t="inlineStr"/>
      <c r="OML78" s="278" t="inlineStr"/>
      <c r="OMM78" s="278" t="inlineStr"/>
      <c r="OMN78" s="278" t="inlineStr"/>
      <c r="OMO78" s="278" t="inlineStr"/>
      <c r="OMP78" s="278" t="inlineStr"/>
      <c r="OMQ78" s="278" t="inlineStr"/>
      <c r="OMR78" s="278" t="inlineStr"/>
      <c r="OMS78" s="278" t="inlineStr"/>
      <c r="OMT78" s="278" t="inlineStr"/>
      <c r="OMU78" s="278" t="inlineStr"/>
      <c r="OMV78" s="278" t="inlineStr"/>
      <c r="OMW78" s="278" t="inlineStr"/>
      <c r="OMX78" s="278" t="inlineStr"/>
      <c r="OMY78" s="278" t="inlineStr"/>
      <c r="OMZ78" s="278" t="inlineStr"/>
      <c r="ONA78" s="278" t="inlineStr"/>
      <c r="ONB78" s="278" t="inlineStr"/>
      <c r="ONC78" s="278" t="inlineStr"/>
      <c r="OND78" s="278" t="inlineStr"/>
      <c r="ONE78" s="278" t="inlineStr"/>
      <c r="ONF78" s="278" t="inlineStr"/>
      <c r="ONG78" s="278" t="inlineStr"/>
      <c r="ONH78" s="278" t="inlineStr"/>
      <c r="ONI78" s="278" t="inlineStr"/>
      <c r="ONJ78" s="278" t="inlineStr"/>
      <c r="ONK78" s="278" t="inlineStr"/>
      <c r="ONL78" s="278" t="inlineStr"/>
      <c r="ONM78" s="278" t="inlineStr"/>
      <c r="ONN78" s="278" t="inlineStr"/>
      <c r="ONO78" s="278" t="inlineStr"/>
      <c r="ONP78" s="278" t="inlineStr"/>
      <c r="ONQ78" s="278" t="inlineStr"/>
      <c r="ONR78" s="278" t="inlineStr"/>
      <c r="ONS78" s="278" t="inlineStr"/>
      <c r="ONT78" s="278" t="inlineStr"/>
      <c r="ONU78" s="278" t="inlineStr"/>
      <c r="ONV78" s="278" t="inlineStr"/>
      <c r="ONW78" s="278" t="inlineStr"/>
      <c r="ONX78" s="278" t="inlineStr"/>
      <c r="ONY78" s="278" t="inlineStr"/>
      <c r="ONZ78" s="278" t="inlineStr"/>
      <c r="OOA78" s="278" t="inlineStr"/>
      <c r="OOB78" s="278" t="inlineStr"/>
      <c r="OOC78" s="278" t="inlineStr"/>
      <c r="OOD78" s="278" t="inlineStr"/>
      <c r="OOE78" s="278" t="inlineStr"/>
      <c r="OOF78" s="278" t="inlineStr"/>
      <c r="OOG78" s="278" t="inlineStr"/>
      <c r="OOH78" s="278" t="inlineStr"/>
      <c r="OOI78" s="278" t="inlineStr"/>
      <c r="OOJ78" s="278" t="inlineStr"/>
      <c r="OOK78" s="278" t="inlineStr"/>
      <c r="OOL78" s="278" t="inlineStr"/>
      <c r="OOM78" s="278" t="inlineStr"/>
      <c r="OON78" s="278" t="inlineStr"/>
      <c r="OOO78" s="278" t="inlineStr"/>
      <c r="OOP78" s="278" t="inlineStr"/>
      <c r="OOQ78" s="278" t="inlineStr"/>
      <c r="OOR78" s="278" t="inlineStr"/>
      <c r="OOS78" s="278" t="inlineStr"/>
      <c r="OOT78" s="278" t="inlineStr"/>
      <c r="OOU78" s="278" t="inlineStr"/>
      <c r="OOV78" s="278" t="inlineStr"/>
      <c r="OOW78" s="278" t="inlineStr"/>
      <c r="OOX78" s="278" t="inlineStr"/>
      <c r="OOY78" s="278" t="inlineStr"/>
      <c r="OOZ78" s="278" t="inlineStr"/>
      <c r="OPA78" s="278" t="inlineStr"/>
      <c r="OPB78" s="278" t="inlineStr"/>
      <c r="OPC78" s="278" t="inlineStr"/>
      <c r="OPD78" s="278" t="inlineStr"/>
      <c r="OPE78" s="278" t="inlineStr"/>
      <c r="OPF78" s="278" t="inlineStr"/>
      <c r="OPG78" s="278" t="inlineStr"/>
      <c r="OPH78" s="278" t="inlineStr"/>
      <c r="OPI78" s="278" t="inlineStr"/>
      <c r="OPJ78" s="278" t="inlineStr"/>
      <c r="OPK78" s="278" t="inlineStr"/>
      <c r="OPL78" s="278" t="inlineStr"/>
      <c r="OPM78" s="278" t="inlineStr"/>
      <c r="OPN78" s="278" t="inlineStr"/>
      <c r="OPO78" s="278" t="inlineStr"/>
      <c r="OPP78" s="278" t="inlineStr"/>
      <c r="OPQ78" s="278" t="inlineStr"/>
      <c r="OPR78" s="278" t="inlineStr"/>
      <c r="OPS78" s="278" t="inlineStr"/>
      <c r="OPT78" s="278" t="inlineStr"/>
      <c r="OPU78" s="278" t="inlineStr"/>
      <c r="OPV78" s="278" t="inlineStr"/>
      <c r="OPW78" s="278" t="inlineStr"/>
      <c r="OPX78" s="278" t="inlineStr"/>
      <c r="OPY78" s="278" t="inlineStr"/>
      <c r="OPZ78" s="278" t="inlineStr"/>
      <c r="OQA78" s="278" t="inlineStr"/>
      <c r="OQB78" s="278" t="inlineStr"/>
      <c r="OQC78" s="278" t="inlineStr"/>
      <c r="OQD78" s="278" t="inlineStr"/>
      <c r="OQE78" s="278" t="inlineStr"/>
      <c r="OQF78" s="278" t="inlineStr"/>
      <c r="OQG78" s="278" t="inlineStr"/>
      <c r="OQH78" s="278" t="inlineStr"/>
      <c r="OQI78" s="278" t="inlineStr"/>
      <c r="OQJ78" s="278" t="inlineStr"/>
      <c r="OQK78" s="278" t="inlineStr"/>
      <c r="OQL78" s="278" t="inlineStr"/>
      <c r="OQM78" s="278" t="inlineStr"/>
      <c r="OQN78" s="278" t="inlineStr"/>
      <c r="OQO78" s="278" t="inlineStr"/>
      <c r="OQP78" s="278" t="inlineStr"/>
      <c r="OQQ78" s="278" t="inlineStr"/>
      <c r="OQR78" s="278" t="inlineStr"/>
      <c r="OQS78" s="278" t="inlineStr"/>
      <c r="OQT78" s="278" t="inlineStr"/>
      <c r="OQU78" s="278" t="inlineStr"/>
      <c r="OQV78" s="278" t="inlineStr"/>
      <c r="OQW78" s="278" t="inlineStr"/>
      <c r="OQX78" s="278" t="inlineStr"/>
      <c r="OQY78" s="278" t="inlineStr"/>
      <c r="OQZ78" s="278" t="inlineStr"/>
      <c r="ORA78" s="278" t="inlineStr"/>
      <c r="ORB78" s="278" t="inlineStr"/>
      <c r="ORC78" s="278" t="inlineStr"/>
      <c r="ORD78" s="278" t="inlineStr"/>
      <c r="ORE78" s="278" t="inlineStr"/>
      <c r="ORF78" s="278" t="inlineStr"/>
      <c r="ORG78" s="278" t="inlineStr"/>
      <c r="ORH78" s="278" t="inlineStr"/>
      <c r="ORI78" s="278" t="inlineStr"/>
      <c r="ORJ78" s="278" t="inlineStr"/>
      <c r="ORK78" s="278" t="inlineStr"/>
      <c r="ORL78" s="278" t="inlineStr"/>
      <c r="ORM78" s="278" t="inlineStr"/>
      <c r="ORN78" s="278" t="inlineStr"/>
      <c r="ORO78" s="278" t="inlineStr"/>
      <c r="ORP78" s="278" t="inlineStr"/>
      <c r="ORQ78" s="278" t="inlineStr"/>
      <c r="ORR78" s="278" t="inlineStr"/>
      <c r="ORS78" s="278" t="inlineStr"/>
      <c r="ORT78" s="278" t="inlineStr"/>
      <c r="ORU78" s="278" t="inlineStr"/>
      <c r="ORV78" s="278" t="inlineStr"/>
      <c r="ORW78" s="278" t="inlineStr"/>
      <c r="ORX78" s="278" t="inlineStr"/>
      <c r="ORY78" s="278" t="inlineStr"/>
      <c r="ORZ78" s="278" t="inlineStr"/>
      <c r="OSA78" s="278" t="inlineStr"/>
      <c r="OSB78" s="278" t="inlineStr"/>
      <c r="OSC78" s="278" t="inlineStr"/>
      <c r="OSD78" s="278" t="inlineStr"/>
      <c r="OSE78" s="278" t="inlineStr"/>
      <c r="OSF78" s="278" t="inlineStr"/>
      <c r="OSG78" s="278" t="inlineStr"/>
      <c r="OSH78" s="278" t="inlineStr"/>
      <c r="OSI78" s="278" t="inlineStr"/>
      <c r="OSJ78" s="278" t="inlineStr"/>
      <c r="OSK78" s="278" t="inlineStr"/>
      <c r="OSL78" s="278" t="inlineStr"/>
      <c r="OSM78" s="278" t="inlineStr"/>
      <c r="OSN78" s="278" t="inlineStr"/>
      <c r="OSO78" s="278" t="inlineStr"/>
      <c r="OSP78" s="278" t="inlineStr"/>
      <c r="OSQ78" s="278" t="inlineStr"/>
      <c r="OSR78" s="278" t="inlineStr"/>
      <c r="OSS78" s="278" t="inlineStr"/>
      <c r="OST78" s="278" t="inlineStr"/>
      <c r="OSU78" s="278" t="inlineStr"/>
      <c r="OSV78" s="278" t="inlineStr"/>
      <c r="OSW78" s="278" t="inlineStr"/>
      <c r="OSX78" s="278" t="inlineStr"/>
      <c r="OSY78" s="278" t="inlineStr"/>
      <c r="OSZ78" s="278" t="inlineStr"/>
      <c r="OTA78" s="278" t="inlineStr"/>
      <c r="OTB78" s="278" t="inlineStr"/>
      <c r="OTC78" s="278" t="inlineStr"/>
      <c r="OTD78" s="278" t="inlineStr"/>
      <c r="OTE78" s="278" t="inlineStr"/>
      <c r="OTF78" s="278" t="inlineStr"/>
      <c r="OTG78" s="278" t="inlineStr"/>
      <c r="OTH78" s="278" t="inlineStr"/>
      <c r="OTI78" s="278" t="inlineStr"/>
      <c r="OTJ78" s="278" t="inlineStr"/>
      <c r="OTK78" s="278" t="inlineStr"/>
      <c r="OTL78" s="278" t="inlineStr"/>
      <c r="OTM78" s="278" t="inlineStr"/>
      <c r="OTN78" s="278" t="inlineStr"/>
      <c r="OTO78" s="278" t="inlineStr"/>
      <c r="OTP78" s="278" t="inlineStr"/>
      <c r="OTQ78" s="278" t="inlineStr"/>
      <c r="OTR78" s="278" t="inlineStr"/>
      <c r="OTS78" s="278" t="inlineStr"/>
      <c r="OTT78" s="278" t="inlineStr"/>
      <c r="OTU78" s="278" t="inlineStr"/>
      <c r="OTV78" s="278" t="inlineStr"/>
      <c r="OTW78" s="278" t="inlineStr"/>
      <c r="OTX78" s="278" t="inlineStr"/>
      <c r="OTY78" s="278" t="inlineStr"/>
      <c r="OTZ78" s="278" t="inlineStr"/>
      <c r="OUA78" s="278" t="inlineStr"/>
      <c r="OUB78" s="278" t="inlineStr"/>
      <c r="OUC78" s="278" t="inlineStr"/>
      <c r="OUD78" s="278" t="inlineStr"/>
      <c r="OUE78" s="278" t="inlineStr"/>
      <c r="OUF78" s="278" t="inlineStr"/>
      <c r="OUG78" s="278" t="inlineStr"/>
      <c r="OUH78" s="278" t="inlineStr"/>
      <c r="OUI78" s="278" t="inlineStr"/>
      <c r="OUJ78" s="278" t="inlineStr"/>
      <c r="OUK78" s="278" t="inlineStr"/>
      <c r="OUL78" s="278" t="inlineStr"/>
      <c r="OUM78" s="278" t="inlineStr"/>
      <c r="OUN78" s="278" t="inlineStr"/>
      <c r="OUO78" s="278" t="inlineStr"/>
      <c r="OUP78" s="278" t="inlineStr"/>
      <c r="OUQ78" s="278" t="inlineStr"/>
      <c r="OUR78" s="278" t="inlineStr"/>
      <c r="OUS78" s="278" t="inlineStr"/>
      <c r="OUT78" s="278" t="inlineStr"/>
      <c r="OUU78" s="278" t="inlineStr"/>
      <c r="OUV78" s="278" t="inlineStr"/>
      <c r="OUW78" s="278" t="inlineStr"/>
      <c r="OUX78" s="278" t="inlineStr"/>
      <c r="OUY78" s="278" t="inlineStr"/>
      <c r="OUZ78" s="278" t="inlineStr"/>
      <c r="OVA78" s="278" t="inlineStr"/>
      <c r="OVB78" s="278" t="inlineStr"/>
      <c r="OVC78" s="278" t="inlineStr"/>
      <c r="OVD78" s="278" t="inlineStr"/>
      <c r="OVE78" s="278" t="inlineStr"/>
      <c r="OVF78" s="278" t="inlineStr"/>
      <c r="OVG78" s="278" t="inlineStr"/>
      <c r="OVH78" s="278" t="inlineStr"/>
      <c r="OVI78" s="278" t="inlineStr"/>
      <c r="OVJ78" s="278" t="inlineStr"/>
      <c r="OVK78" s="278" t="inlineStr"/>
      <c r="OVL78" s="278" t="inlineStr"/>
      <c r="OVM78" s="278" t="inlineStr"/>
      <c r="OVN78" s="278" t="inlineStr"/>
      <c r="OVO78" s="278" t="inlineStr"/>
      <c r="OVP78" s="278" t="inlineStr"/>
      <c r="OVQ78" s="278" t="inlineStr"/>
      <c r="OVR78" s="278" t="inlineStr"/>
      <c r="OVS78" s="278" t="inlineStr"/>
      <c r="OVT78" s="278" t="inlineStr"/>
      <c r="OVU78" s="278" t="inlineStr"/>
      <c r="OVV78" s="278" t="inlineStr"/>
      <c r="OVW78" s="278" t="inlineStr"/>
      <c r="OVX78" s="278" t="inlineStr"/>
      <c r="OVY78" s="278" t="inlineStr"/>
      <c r="OVZ78" s="278" t="inlineStr"/>
      <c r="OWA78" s="278" t="inlineStr"/>
      <c r="OWB78" s="278" t="inlineStr"/>
      <c r="OWC78" s="278" t="inlineStr"/>
      <c r="OWD78" s="278" t="inlineStr"/>
      <c r="OWE78" s="278" t="inlineStr"/>
      <c r="OWF78" s="278" t="inlineStr"/>
      <c r="OWG78" s="278" t="inlineStr"/>
      <c r="OWH78" s="278" t="inlineStr"/>
      <c r="OWI78" s="278" t="inlineStr"/>
      <c r="OWJ78" s="278" t="inlineStr"/>
      <c r="OWK78" s="278" t="inlineStr"/>
      <c r="OWL78" s="278" t="inlineStr"/>
      <c r="OWM78" s="278" t="inlineStr"/>
      <c r="OWN78" s="278" t="inlineStr"/>
      <c r="OWO78" s="278" t="inlineStr"/>
      <c r="OWP78" s="278" t="inlineStr"/>
      <c r="OWQ78" s="278" t="inlineStr"/>
      <c r="OWR78" s="278" t="inlineStr"/>
      <c r="OWS78" s="278" t="inlineStr"/>
      <c r="OWT78" s="278" t="inlineStr"/>
      <c r="OWU78" s="278" t="inlineStr"/>
      <c r="OWV78" s="278" t="inlineStr"/>
      <c r="OWW78" s="278" t="inlineStr"/>
      <c r="OWX78" s="278" t="inlineStr"/>
      <c r="OWY78" s="278" t="inlineStr"/>
      <c r="OWZ78" s="278" t="inlineStr"/>
      <c r="OXA78" s="278" t="inlineStr"/>
      <c r="OXB78" s="278" t="inlineStr"/>
      <c r="OXC78" s="278" t="inlineStr"/>
      <c r="OXD78" s="278" t="inlineStr"/>
      <c r="OXE78" s="278" t="inlineStr"/>
      <c r="OXF78" s="278" t="inlineStr"/>
      <c r="OXG78" s="278" t="inlineStr"/>
      <c r="OXH78" s="278" t="inlineStr"/>
      <c r="OXI78" s="278" t="inlineStr"/>
      <c r="OXJ78" s="278" t="inlineStr"/>
      <c r="OXK78" s="278" t="inlineStr"/>
      <c r="OXL78" s="278" t="inlineStr"/>
      <c r="OXM78" s="278" t="inlineStr"/>
      <c r="OXN78" s="278" t="inlineStr"/>
      <c r="OXO78" s="278" t="inlineStr"/>
      <c r="OXP78" s="278" t="inlineStr"/>
      <c r="OXQ78" s="278" t="inlineStr"/>
      <c r="OXR78" s="278" t="inlineStr"/>
      <c r="OXS78" s="278" t="inlineStr"/>
      <c r="OXT78" s="278" t="inlineStr"/>
      <c r="OXU78" s="278" t="inlineStr"/>
      <c r="OXV78" s="278" t="inlineStr"/>
      <c r="OXW78" s="278" t="inlineStr"/>
      <c r="OXX78" s="278" t="inlineStr"/>
      <c r="OXY78" s="278" t="inlineStr"/>
      <c r="OXZ78" s="278" t="inlineStr"/>
      <c r="OYA78" s="278" t="inlineStr"/>
      <c r="OYB78" s="278" t="inlineStr"/>
      <c r="OYC78" s="278" t="inlineStr"/>
      <c r="OYD78" s="278" t="inlineStr"/>
      <c r="OYE78" s="278" t="inlineStr"/>
      <c r="OYF78" s="278" t="inlineStr"/>
      <c r="OYG78" s="278" t="inlineStr"/>
      <c r="OYH78" s="278" t="inlineStr"/>
      <c r="OYI78" s="278" t="inlineStr"/>
      <c r="OYJ78" s="278" t="inlineStr"/>
      <c r="OYK78" s="278" t="inlineStr"/>
      <c r="OYL78" s="278" t="inlineStr"/>
      <c r="OYM78" s="278" t="inlineStr"/>
      <c r="OYN78" s="278" t="inlineStr"/>
      <c r="OYO78" s="278" t="inlineStr"/>
      <c r="OYP78" s="278" t="inlineStr"/>
      <c r="OYQ78" s="278" t="inlineStr"/>
      <c r="OYR78" s="278" t="inlineStr"/>
      <c r="OYS78" s="278" t="inlineStr"/>
      <c r="OYT78" s="278" t="inlineStr"/>
      <c r="OYU78" s="278" t="inlineStr"/>
      <c r="OYV78" s="278" t="inlineStr"/>
      <c r="OYW78" s="278" t="inlineStr"/>
      <c r="OYX78" s="278" t="inlineStr"/>
      <c r="OYY78" s="278" t="inlineStr"/>
      <c r="OYZ78" s="278" t="inlineStr"/>
      <c r="OZA78" s="278" t="inlineStr"/>
      <c r="OZB78" s="278" t="inlineStr"/>
      <c r="OZC78" s="278" t="inlineStr"/>
      <c r="OZD78" s="278" t="inlineStr"/>
      <c r="OZE78" s="278" t="inlineStr"/>
      <c r="OZF78" s="278" t="inlineStr"/>
      <c r="OZG78" s="278" t="inlineStr"/>
      <c r="OZH78" s="278" t="inlineStr"/>
      <c r="OZI78" s="278" t="inlineStr"/>
      <c r="OZJ78" s="278" t="inlineStr"/>
      <c r="OZK78" s="278" t="inlineStr"/>
      <c r="OZL78" s="278" t="inlineStr"/>
      <c r="OZM78" s="278" t="inlineStr"/>
      <c r="OZN78" s="278" t="inlineStr"/>
      <c r="OZO78" s="278" t="inlineStr"/>
      <c r="OZP78" s="278" t="inlineStr"/>
      <c r="OZQ78" s="278" t="inlineStr"/>
      <c r="OZR78" s="278" t="inlineStr"/>
      <c r="OZS78" s="278" t="inlineStr"/>
      <c r="OZT78" s="278" t="inlineStr"/>
      <c r="OZU78" s="278" t="inlineStr"/>
      <c r="OZV78" s="278" t="inlineStr"/>
      <c r="OZW78" s="278" t="inlineStr"/>
      <c r="OZX78" s="278" t="inlineStr"/>
      <c r="OZY78" s="278" t="inlineStr"/>
      <c r="OZZ78" s="278" t="inlineStr"/>
      <c r="PAA78" s="278" t="inlineStr"/>
      <c r="PAB78" s="278" t="inlineStr"/>
      <c r="PAC78" s="278" t="inlineStr"/>
      <c r="PAD78" s="278" t="inlineStr"/>
      <c r="PAE78" s="278" t="inlineStr"/>
      <c r="PAF78" s="278" t="inlineStr"/>
      <c r="PAG78" s="278" t="inlineStr"/>
      <c r="PAH78" s="278" t="inlineStr"/>
      <c r="PAI78" s="278" t="inlineStr"/>
      <c r="PAJ78" s="278" t="inlineStr"/>
      <c r="PAK78" s="278" t="inlineStr"/>
      <c r="PAL78" s="278" t="inlineStr"/>
      <c r="PAM78" s="278" t="inlineStr"/>
      <c r="PAN78" s="278" t="inlineStr"/>
      <c r="PAO78" s="278" t="inlineStr"/>
      <c r="PAP78" s="278" t="inlineStr"/>
      <c r="PAQ78" s="278" t="inlineStr"/>
      <c r="PAR78" s="278" t="inlineStr"/>
      <c r="PAS78" s="278" t="inlineStr"/>
      <c r="PAT78" s="278" t="inlineStr"/>
      <c r="PAU78" s="278" t="inlineStr"/>
      <c r="PAV78" s="278" t="inlineStr"/>
      <c r="PAW78" s="278" t="inlineStr"/>
      <c r="PAX78" s="278" t="inlineStr"/>
      <c r="PAY78" s="278" t="inlineStr"/>
      <c r="PAZ78" s="278" t="inlineStr"/>
      <c r="PBA78" s="278" t="inlineStr"/>
      <c r="PBB78" s="278" t="inlineStr"/>
      <c r="PBC78" s="278" t="inlineStr"/>
      <c r="PBD78" s="278" t="inlineStr"/>
      <c r="PBE78" s="278" t="inlineStr"/>
      <c r="PBF78" s="278" t="inlineStr"/>
      <c r="PBG78" s="278" t="inlineStr"/>
      <c r="PBH78" s="278" t="inlineStr"/>
      <c r="PBI78" s="278" t="inlineStr"/>
      <c r="PBJ78" s="278" t="inlineStr"/>
      <c r="PBK78" s="278" t="inlineStr"/>
      <c r="PBL78" s="278" t="inlineStr"/>
      <c r="PBM78" s="278" t="inlineStr"/>
      <c r="PBN78" s="278" t="inlineStr"/>
      <c r="PBO78" s="278" t="inlineStr"/>
      <c r="PBP78" s="278" t="inlineStr"/>
      <c r="PBQ78" s="278" t="inlineStr"/>
      <c r="PBR78" s="278" t="inlineStr"/>
      <c r="PBS78" s="278" t="inlineStr"/>
      <c r="PBT78" s="278" t="inlineStr"/>
      <c r="PBU78" s="278" t="inlineStr"/>
      <c r="PBV78" s="278" t="inlineStr"/>
      <c r="PBW78" s="278" t="inlineStr"/>
      <c r="PBX78" s="278" t="inlineStr"/>
      <c r="PBY78" s="278" t="inlineStr"/>
      <c r="PBZ78" s="278" t="inlineStr"/>
      <c r="PCA78" s="278" t="inlineStr"/>
      <c r="PCB78" s="278" t="inlineStr"/>
      <c r="PCC78" s="278" t="inlineStr"/>
      <c r="PCD78" s="278" t="inlineStr"/>
      <c r="PCE78" s="278" t="inlineStr"/>
      <c r="PCF78" s="278" t="inlineStr"/>
      <c r="PCG78" s="278" t="inlineStr"/>
      <c r="PCH78" s="278" t="inlineStr"/>
      <c r="PCI78" s="278" t="inlineStr"/>
      <c r="PCJ78" s="278" t="inlineStr"/>
      <c r="PCK78" s="278" t="inlineStr"/>
      <c r="PCL78" s="278" t="inlineStr"/>
      <c r="PCM78" s="278" t="inlineStr"/>
      <c r="PCN78" s="278" t="inlineStr"/>
      <c r="PCO78" s="278" t="inlineStr"/>
      <c r="PCP78" s="278" t="inlineStr"/>
      <c r="PCQ78" s="278" t="inlineStr"/>
      <c r="PCR78" s="278" t="inlineStr"/>
      <c r="PCS78" s="278" t="inlineStr"/>
      <c r="PCT78" s="278" t="inlineStr"/>
      <c r="PCU78" s="278" t="inlineStr"/>
      <c r="PCV78" s="278" t="inlineStr"/>
      <c r="PCW78" s="278" t="inlineStr"/>
      <c r="PCX78" s="278" t="inlineStr"/>
      <c r="PCY78" s="278" t="inlineStr"/>
      <c r="PCZ78" s="278" t="inlineStr"/>
      <c r="PDA78" s="278" t="inlineStr"/>
      <c r="PDB78" s="278" t="inlineStr"/>
      <c r="PDC78" s="278" t="inlineStr"/>
      <c r="PDD78" s="278" t="inlineStr"/>
      <c r="PDE78" s="278" t="inlineStr"/>
      <c r="PDF78" s="278" t="inlineStr"/>
      <c r="PDG78" s="278" t="inlineStr"/>
      <c r="PDH78" s="278" t="inlineStr"/>
      <c r="PDI78" s="278" t="inlineStr"/>
      <c r="PDJ78" s="278" t="inlineStr"/>
      <c r="PDK78" s="278" t="inlineStr"/>
      <c r="PDL78" s="278" t="inlineStr"/>
      <c r="PDM78" s="278" t="inlineStr"/>
      <c r="PDN78" s="278" t="inlineStr"/>
      <c r="PDO78" s="278" t="inlineStr"/>
      <c r="PDP78" s="278" t="inlineStr"/>
      <c r="PDQ78" s="278" t="inlineStr"/>
      <c r="PDR78" s="278" t="inlineStr"/>
      <c r="PDS78" s="278" t="inlineStr"/>
      <c r="PDT78" s="278" t="inlineStr"/>
      <c r="PDU78" s="278" t="inlineStr"/>
      <c r="PDV78" s="278" t="inlineStr"/>
      <c r="PDW78" s="278" t="inlineStr"/>
      <c r="PDX78" s="278" t="inlineStr"/>
      <c r="PDY78" s="278" t="inlineStr"/>
      <c r="PDZ78" s="278" t="inlineStr"/>
      <c r="PEA78" s="278" t="inlineStr"/>
      <c r="PEB78" s="278" t="inlineStr"/>
      <c r="PEC78" s="278" t="inlineStr"/>
      <c r="PED78" s="278" t="inlineStr"/>
      <c r="PEE78" s="278" t="inlineStr"/>
      <c r="PEF78" s="278" t="inlineStr"/>
      <c r="PEG78" s="278" t="inlineStr"/>
      <c r="PEH78" s="278" t="inlineStr"/>
      <c r="PEI78" s="278" t="inlineStr"/>
      <c r="PEJ78" s="278" t="inlineStr"/>
      <c r="PEK78" s="278" t="inlineStr"/>
      <c r="PEL78" s="278" t="inlineStr"/>
      <c r="PEM78" s="278" t="inlineStr"/>
      <c r="PEN78" s="278" t="inlineStr"/>
      <c r="PEO78" s="278" t="inlineStr"/>
      <c r="PEP78" s="278" t="inlineStr"/>
      <c r="PEQ78" s="278" t="inlineStr"/>
      <c r="PER78" s="278" t="inlineStr"/>
      <c r="PES78" s="278" t="inlineStr"/>
      <c r="PET78" s="278" t="inlineStr"/>
      <c r="PEU78" s="278" t="inlineStr"/>
      <c r="PEV78" s="278" t="inlineStr"/>
      <c r="PEW78" s="278" t="inlineStr"/>
      <c r="PEX78" s="278" t="inlineStr"/>
      <c r="PEY78" s="278" t="inlineStr"/>
      <c r="PEZ78" s="278" t="inlineStr"/>
      <c r="PFA78" s="278" t="inlineStr"/>
      <c r="PFB78" s="278" t="inlineStr"/>
      <c r="PFC78" s="278" t="inlineStr"/>
      <c r="PFD78" s="278" t="inlineStr"/>
      <c r="PFE78" s="278" t="inlineStr"/>
      <c r="PFF78" s="278" t="inlineStr"/>
      <c r="PFG78" s="278" t="inlineStr"/>
      <c r="PFH78" s="278" t="inlineStr"/>
      <c r="PFI78" s="278" t="inlineStr"/>
      <c r="PFJ78" s="278" t="inlineStr"/>
      <c r="PFK78" s="278" t="inlineStr"/>
      <c r="PFL78" s="278" t="inlineStr"/>
      <c r="PFM78" s="278" t="inlineStr"/>
      <c r="PFN78" s="278" t="inlineStr"/>
      <c r="PFO78" s="278" t="inlineStr"/>
      <c r="PFP78" s="278" t="inlineStr"/>
      <c r="PFQ78" s="278" t="inlineStr"/>
      <c r="PFR78" s="278" t="inlineStr"/>
      <c r="PFS78" s="278" t="inlineStr"/>
      <c r="PFT78" s="278" t="inlineStr"/>
      <c r="PFU78" s="278" t="inlineStr"/>
      <c r="PFV78" s="278" t="inlineStr"/>
      <c r="PFW78" s="278" t="inlineStr"/>
      <c r="PFX78" s="278" t="inlineStr"/>
      <c r="PFY78" s="278" t="inlineStr"/>
      <c r="PFZ78" s="278" t="inlineStr"/>
      <c r="PGA78" s="278" t="inlineStr"/>
      <c r="PGB78" s="278" t="inlineStr"/>
      <c r="PGC78" s="278" t="inlineStr"/>
      <c r="PGD78" s="278" t="inlineStr"/>
      <c r="PGE78" s="278" t="inlineStr"/>
      <c r="PGF78" s="278" t="inlineStr"/>
      <c r="PGG78" s="278" t="inlineStr"/>
      <c r="PGH78" s="278" t="inlineStr"/>
      <c r="PGI78" s="278" t="inlineStr"/>
      <c r="PGJ78" s="278" t="inlineStr"/>
      <c r="PGK78" s="278" t="inlineStr"/>
      <c r="PGL78" s="278" t="inlineStr"/>
      <c r="PGM78" s="278" t="inlineStr"/>
      <c r="PGN78" s="278" t="inlineStr"/>
      <c r="PGO78" s="278" t="inlineStr"/>
      <c r="PGP78" s="278" t="inlineStr"/>
      <c r="PGQ78" s="278" t="inlineStr"/>
      <c r="PGR78" s="278" t="inlineStr"/>
      <c r="PGS78" s="278" t="inlineStr"/>
      <c r="PGT78" s="278" t="inlineStr"/>
      <c r="PGU78" s="278" t="inlineStr"/>
      <c r="PGV78" s="278" t="inlineStr"/>
      <c r="PGW78" s="278" t="inlineStr"/>
      <c r="PGX78" s="278" t="inlineStr"/>
      <c r="PGY78" s="278" t="inlineStr"/>
      <c r="PGZ78" s="278" t="inlineStr"/>
      <c r="PHA78" s="278" t="inlineStr"/>
      <c r="PHB78" s="278" t="inlineStr"/>
      <c r="PHC78" s="278" t="inlineStr"/>
      <c r="PHD78" s="278" t="inlineStr"/>
      <c r="PHE78" s="278" t="inlineStr"/>
      <c r="PHF78" s="278" t="inlineStr"/>
      <c r="PHG78" s="278" t="inlineStr"/>
      <c r="PHH78" s="278" t="inlineStr"/>
      <c r="PHI78" s="278" t="inlineStr"/>
      <c r="PHJ78" s="278" t="inlineStr"/>
      <c r="PHK78" s="278" t="inlineStr"/>
      <c r="PHL78" s="278" t="inlineStr"/>
      <c r="PHM78" s="278" t="inlineStr"/>
      <c r="PHN78" s="278" t="inlineStr"/>
      <c r="PHO78" s="278" t="inlineStr"/>
      <c r="PHP78" s="278" t="inlineStr"/>
      <c r="PHQ78" s="278" t="inlineStr"/>
      <c r="PHR78" s="278" t="inlineStr"/>
      <c r="PHS78" s="278" t="inlineStr"/>
      <c r="PHT78" s="278" t="inlineStr"/>
      <c r="PHU78" s="278" t="inlineStr"/>
      <c r="PHV78" s="278" t="inlineStr"/>
      <c r="PHW78" s="278" t="inlineStr"/>
      <c r="PHX78" s="278" t="inlineStr"/>
      <c r="PHY78" s="278" t="inlineStr"/>
      <c r="PHZ78" s="278" t="inlineStr"/>
      <c r="PIA78" s="278" t="inlineStr"/>
      <c r="PIB78" s="278" t="inlineStr"/>
      <c r="PIC78" s="278" t="inlineStr"/>
      <c r="PID78" s="278" t="inlineStr"/>
      <c r="PIE78" s="278" t="inlineStr"/>
      <c r="PIF78" s="278" t="inlineStr"/>
      <c r="PIG78" s="278" t="inlineStr"/>
      <c r="PIH78" s="278" t="inlineStr"/>
      <c r="PII78" s="278" t="inlineStr"/>
      <c r="PIJ78" s="278" t="inlineStr"/>
      <c r="PIK78" s="278" t="inlineStr"/>
      <c r="PIL78" s="278" t="inlineStr"/>
      <c r="PIM78" s="278" t="inlineStr"/>
      <c r="PIN78" s="278" t="inlineStr"/>
      <c r="PIO78" s="278" t="inlineStr"/>
      <c r="PIP78" s="278" t="inlineStr"/>
      <c r="PIQ78" s="278" t="inlineStr"/>
      <c r="PIR78" s="278" t="inlineStr"/>
      <c r="PIS78" s="278" t="inlineStr"/>
      <c r="PIT78" s="278" t="inlineStr"/>
      <c r="PIU78" s="278" t="inlineStr"/>
      <c r="PIV78" s="278" t="inlineStr"/>
      <c r="PIW78" s="278" t="inlineStr"/>
      <c r="PIX78" s="278" t="inlineStr"/>
      <c r="PIY78" s="278" t="inlineStr"/>
      <c r="PIZ78" s="278" t="inlineStr"/>
      <c r="PJA78" s="278" t="inlineStr"/>
      <c r="PJB78" s="278" t="inlineStr"/>
      <c r="PJC78" s="278" t="inlineStr"/>
      <c r="PJD78" s="278" t="inlineStr"/>
      <c r="PJE78" s="278" t="inlineStr"/>
      <c r="PJF78" s="278" t="inlineStr"/>
      <c r="PJG78" s="278" t="inlineStr"/>
      <c r="PJH78" s="278" t="inlineStr"/>
      <c r="PJI78" s="278" t="inlineStr"/>
      <c r="PJJ78" s="278" t="inlineStr"/>
      <c r="PJK78" s="278" t="inlineStr"/>
      <c r="PJL78" s="278" t="inlineStr"/>
      <c r="PJM78" s="278" t="inlineStr"/>
      <c r="PJN78" s="278" t="inlineStr"/>
      <c r="PJO78" s="278" t="inlineStr"/>
      <c r="PJP78" s="278" t="inlineStr"/>
      <c r="PJQ78" s="278" t="inlineStr"/>
      <c r="PJR78" s="278" t="inlineStr"/>
      <c r="PJS78" s="278" t="inlineStr"/>
      <c r="PJT78" s="278" t="inlineStr"/>
      <c r="PJU78" s="278" t="inlineStr"/>
      <c r="PJV78" s="278" t="inlineStr"/>
      <c r="PJW78" s="278" t="inlineStr"/>
      <c r="PJX78" s="278" t="inlineStr"/>
      <c r="PJY78" s="278" t="inlineStr"/>
      <c r="PJZ78" s="278" t="inlineStr"/>
      <c r="PKA78" s="278" t="inlineStr"/>
      <c r="PKB78" s="278" t="inlineStr"/>
      <c r="PKC78" s="278" t="inlineStr"/>
      <c r="PKD78" s="278" t="inlineStr"/>
      <c r="PKE78" s="278" t="inlineStr"/>
      <c r="PKF78" s="278" t="inlineStr"/>
      <c r="PKG78" s="278" t="inlineStr"/>
      <c r="PKH78" s="278" t="inlineStr"/>
      <c r="PKI78" s="278" t="inlineStr"/>
      <c r="PKJ78" s="278" t="inlineStr"/>
      <c r="PKK78" s="278" t="inlineStr"/>
      <c r="PKL78" s="278" t="inlineStr"/>
      <c r="PKM78" s="278" t="inlineStr"/>
      <c r="PKN78" s="278" t="inlineStr"/>
      <c r="PKO78" s="278" t="inlineStr"/>
      <c r="PKP78" s="278" t="inlineStr"/>
      <c r="PKQ78" s="278" t="inlineStr"/>
      <c r="PKR78" s="278" t="inlineStr"/>
      <c r="PKS78" s="278" t="inlineStr"/>
      <c r="PKT78" s="278" t="inlineStr"/>
      <c r="PKU78" s="278" t="inlineStr"/>
      <c r="PKV78" s="278" t="inlineStr"/>
      <c r="PKW78" s="278" t="inlineStr"/>
      <c r="PKX78" s="278" t="inlineStr"/>
      <c r="PKY78" s="278" t="inlineStr"/>
      <c r="PKZ78" s="278" t="inlineStr"/>
      <c r="PLA78" s="278" t="inlineStr"/>
      <c r="PLB78" s="278" t="inlineStr"/>
      <c r="PLC78" s="278" t="inlineStr"/>
      <c r="PLD78" s="278" t="inlineStr"/>
      <c r="PLE78" s="278" t="inlineStr"/>
      <c r="PLF78" s="278" t="inlineStr"/>
      <c r="PLG78" s="278" t="inlineStr"/>
      <c r="PLH78" s="278" t="inlineStr"/>
      <c r="PLI78" s="278" t="inlineStr"/>
      <c r="PLJ78" s="278" t="inlineStr"/>
      <c r="PLK78" s="278" t="inlineStr"/>
      <c r="PLL78" s="278" t="inlineStr"/>
      <c r="PLM78" s="278" t="inlineStr"/>
      <c r="PLN78" s="278" t="inlineStr"/>
      <c r="PLO78" s="278" t="inlineStr"/>
      <c r="PLP78" s="278" t="inlineStr"/>
      <c r="PLQ78" s="278" t="inlineStr"/>
      <c r="PLR78" s="278" t="inlineStr"/>
      <c r="PLS78" s="278" t="inlineStr"/>
      <c r="PLT78" s="278" t="inlineStr"/>
      <c r="PLU78" s="278" t="inlineStr"/>
      <c r="PLV78" s="278" t="inlineStr"/>
      <c r="PLW78" s="278" t="inlineStr"/>
      <c r="PLX78" s="278" t="inlineStr"/>
      <c r="PLY78" s="278" t="inlineStr"/>
      <c r="PLZ78" s="278" t="inlineStr"/>
      <c r="PMA78" s="278" t="inlineStr"/>
      <c r="PMB78" s="278" t="inlineStr"/>
      <c r="PMC78" s="278" t="inlineStr"/>
      <c r="PMD78" s="278" t="inlineStr"/>
      <c r="PME78" s="278" t="inlineStr"/>
      <c r="PMF78" s="278" t="inlineStr"/>
      <c r="PMG78" s="278" t="inlineStr"/>
      <c r="PMH78" s="278" t="inlineStr"/>
      <c r="PMI78" s="278" t="inlineStr"/>
      <c r="PMJ78" s="278" t="inlineStr"/>
      <c r="PMK78" s="278" t="inlineStr"/>
      <c r="PML78" s="278" t="inlineStr"/>
      <c r="PMM78" s="278" t="inlineStr"/>
      <c r="PMN78" s="278" t="inlineStr"/>
      <c r="PMO78" s="278" t="inlineStr"/>
      <c r="PMP78" s="278" t="inlineStr"/>
      <c r="PMQ78" s="278" t="inlineStr"/>
      <c r="PMR78" s="278" t="inlineStr"/>
      <c r="PMS78" s="278" t="inlineStr"/>
      <c r="PMT78" s="278" t="inlineStr"/>
      <c r="PMU78" s="278" t="inlineStr"/>
      <c r="PMV78" s="278" t="inlineStr"/>
      <c r="PMW78" s="278" t="inlineStr"/>
      <c r="PMX78" s="278" t="inlineStr"/>
      <c r="PMY78" s="278" t="inlineStr"/>
      <c r="PMZ78" s="278" t="inlineStr"/>
      <c r="PNA78" s="278" t="inlineStr"/>
      <c r="PNB78" s="278" t="inlineStr"/>
      <c r="PNC78" s="278" t="inlineStr"/>
      <c r="PND78" s="278" t="inlineStr"/>
      <c r="PNE78" s="278" t="inlineStr"/>
      <c r="PNF78" s="278" t="inlineStr"/>
      <c r="PNG78" s="278" t="inlineStr"/>
      <c r="PNH78" s="278" t="inlineStr"/>
      <c r="PNI78" s="278" t="inlineStr"/>
      <c r="PNJ78" s="278" t="inlineStr"/>
      <c r="PNK78" s="278" t="inlineStr"/>
      <c r="PNL78" s="278" t="inlineStr"/>
      <c r="PNM78" s="278" t="inlineStr"/>
      <c r="PNN78" s="278" t="inlineStr"/>
      <c r="PNO78" s="278" t="inlineStr"/>
      <c r="PNP78" s="278" t="inlineStr"/>
      <c r="PNQ78" s="278" t="inlineStr"/>
      <c r="PNR78" s="278" t="inlineStr"/>
      <c r="PNS78" s="278" t="inlineStr"/>
      <c r="PNT78" s="278" t="inlineStr"/>
      <c r="PNU78" s="278" t="inlineStr"/>
      <c r="PNV78" s="278" t="inlineStr"/>
      <c r="PNW78" s="278" t="inlineStr"/>
      <c r="PNX78" s="278" t="inlineStr"/>
      <c r="PNY78" s="278" t="inlineStr"/>
      <c r="PNZ78" s="278" t="inlineStr"/>
      <c r="POA78" s="278" t="inlineStr"/>
      <c r="POB78" s="278" t="inlineStr"/>
      <c r="POC78" s="278" t="inlineStr"/>
      <c r="POD78" s="278" t="inlineStr"/>
      <c r="POE78" s="278" t="inlineStr"/>
      <c r="POF78" s="278" t="inlineStr"/>
      <c r="POG78" s="278" t="inlineStr"/>
      <c r="POH78" s="278" t="inlineStr"/>
      <c r="POI78" s="278" t="inlineStr"/>
      <c r="POJ78" s="278" t="inlineStr"/>
      <c r="POK78" s="278" t="inlineStr"/>
      <c r="POL78" s="278" t="inlineStr"/>
      <c r="POM78" s="278" t="inlineStr"/>
      <c r="PON78" s="278" t="inlineStr"/>
      <c r="POO78" s="278" t="inlineStr"/>
      <c r="POP78" s="278" t="inlineStr"/>
      <c r="POQ78" s="278" t="inlineStr"/>
      <c r="POR78" s="278" t="inlineStr"/>
      <c r="POS78" s="278" t="inlineStr"/>
      <c r="POT78" s="278" t="inlineStr"/>
      <c r="POU78" s="278" t="inlineStr"/>
      <c r="POV78" s="278" t="inlineStr"/>
      <c r="POW78" s="278" t="inlineStr"/>
      <c r="POX78" s="278" t="inlineStr"/>
      <c r="POY78" s="278" t="inlineStr"/>
      <c r="POZ78" s="278" t="inlineStr"/>
      <c r="PPA78" s="278" t="inlineStr"/>
      <c r="PPB78" s="278" t="inlineStr"/>
      <c r="PPC78" s="278" t="inlineStr"/>
      <c r="PPD78" s="278" t="inlineStr"/>
      <c r="PPE78" s="278" t="inlineStr"/>
      <c r="PPF78" s="278" t="inlineStr"/>
      <c r="PPG78" s="278" t="inlineStr"/>
      <c r="PPH78" s="278" t="inlineStr"/>
      <c r="PPI78" s="278" t="inlineStr"/>
      <c r="PPJ78" s="278" t="inlineStr"/>
      <c r="PPK78" s="278" t="inlineStr"/>
      <c r="PPL78" s="278" t="inlineStr"/>
      <c r="PPM78" s="278" t="inlineStr"/>
      <c r="PPN78" s="278" t="inlineStr"/>
      <c r="PPO78" s="278" t="inlineStr"/>
      <c r="PPP78" s="278" t="inlineStr"/>
      <c r="PPQ78" s="278" t="inlineStr"/>
      <c r="PPR78" s="278" t="inlineStr"/>
      <c r="PPS78" s="278" t="inlineStr"/>
      <c r="PPT78" s="278" t="inlineStr"/>
      <c r="PPU78" s="278" t="inlineStr"/>
      <c r="PPV78" s="278" t="inlineStr"/>
      <c r="PPW78" s="278" t="inlineStr"/>
      <c r="PPX78" s="278" t="inlineStr"/>
      <c r="PPY78" s="278" t="inlineStr"/>
      <c r="PPZ78" s="278" t="inlineStr"/>
      <c r="PQA78" s="278" t="inlineStr"/>
      <c r="PQB78" s="278" t="inlineStr"/>
      <c r="PQC78" s="278" t="inlineStr"/>
      <c r="PQD78" s="278" t="inlineStr"/>
      <c r="PQE78" s="278" t="inlineStr"/>
      <c r="PQF78" s="278" t="inlineStr"/>
      <c r="PQG78" s="278" t="inlineStr"/>
      <c r="PQH78" s="278" t="inlineStr"/>
      <c r="PQI78" s="278" t="inlineStr"/>
      <c r="PQJ78" s="278" t="inlineStr"/>
      <c r="PQK78" s="278" t="inlineStr"/>
      <c r="PQL78" s="278" t="inlineStr"/>
      <c r="PQM78" s="278" t="inlineStr"/>
      <c r="PQN78" s="278" t="inlineStr"/>
      <c r="PQO78" s="278" t="inlineStr"/>
      <c r="PQP78" s="278" t="inlineStr"/>
      <c r="PQQ78" s="278" t="inlineStr"/>
      <c r="PQR78" s="278" t="inlineStr"/>
      <c r="PQS78" s="278" t="inlineStr"/>
      <c r="PQT78" s="278" t="inlineStr"/>
      <c r="PQU78" s="278" t="inlineStr"/>
      <c r="PQV78" s="278" t="inlineStr"/>
      <c r="PQW78" s="278" t="inlineStr"/>
      <c r="PQX78" s="278" t="inlineStr"/>
      <c r="PQY78" s="278" t="inlineStr"/>
      <c r="PQZ78" s="278" t="inlineStr"/>
      <c r="PRA78" s="278" t="inlineStr"/>
      <c r="PRB78" s="278" t="inlineStr"/>
      <c r="PRC78" s="278" t="inlineStr"/>
      <c r="PRD78" s="278" t="inlineStr"/>
      <c r="PRE78" s="278" t="inlineStr"/>
      <c r="PRF78" s="278" t="inlineStr"/>
      <c r="PRG78" s="278" t="inlineStr"/>
      <c r="PRH78" s="278" t="inlineStr"/>
      <c r="PRI78" s="278" t="inlineStr"/>
      <c r="PRJ78" s="278" t="inlineStr"/>
      <c r="PRK78" s="278" t="inlineStr"/>
      <c r="PRL78" s="278" t="inlineStr"/>
      <c r="PRM78" s="278" t="inlineStr"/>
      <c r="PRN78" s="278" t="inlineStr"/>
      <c r="PRO78" s="278" t="inlineStr"/>
      <c r="PRP78" s="278" t="inlineStr"/>
      <c r="PRQ78" s="278" t="inlineStr"/>
      <c r="PRR78" s="278" t="inlineStr"/>
      <c r="PRS78" s="278" t="inlineStr"/>
      <c r="PRT78" s="278" t="inlineStr"/>
      <c r="PRU78" s="278" t="inlineStr"/>
      <c r="PRV78" s="278" t="inlineStr"/>
      <c r="PRW78" s="278" t="inlineStr"/>
      <c r="PRX78" s="278" t="inlineStr"/>
      <c r="PRY78" s="278" t="inlineStr"/>
      <c r="PRZ78" s="278" t="inlineStr"/>
      <c r="PSA78" s="278" t="inlineStr"/>
      <c r="PSB78" s="278" t="inlineStr"/>
      <c r="PSC78" s="278" t="inlineStr"/>
      <c r="PSD78" s="278" t="inlineStr"/>
      <c r="PSE78" s="278" t="inlineStr"/>
      <c r="PSF78" s="278" t="inlineStr"/>
      <c r="PSG78" s="278" t="inlineStr"/>
      <c r="PSH78" s="278" t="inlineStr"/>
      <c r="PSI78" s="278" t="inlineStr"/>
      <c r="PSJ78" s="278" t="inlineStr"/>
      <c r="PSK78" s="278" t="inlineStr"/>
      <c r="PSL78" s="278" t="inlineStr"/>
      <c r="PSM78" s="278" t="inlineStr"/>
      <c r="PSN78" s="278" t="inlineStr"/>
      <c r="PSO78" s="278" t="inlineStr"/>
      <c r="PSP78" s="278" t="inlineStr"/>
      <c r="PSQ78" s="278" t="inlineStr"/>
      <c r="PSR78" s="278" t="inlineStr"/>
      <c r="PSS78" s="278" t="inlineStr"/>
      <c r="PST78" s="278" t="inlineStr"/>
      <c r="PSU78" s="278" t="inlineStr"/>
      <c r="PSV78" s="278" t="inlineStr"/>
      <c r="PSW78" s="278" t="inlineStr"/>
      <c r="PSX78" s="278" t="inlineStr"/>
      <c r="PSY78" s="278" t="inlineStr"/>
      <c r="PSZ78" s="278" t="inlineStr"/>
      <c r="PTA78" s="278" t="inlineStr"/>
      <c r="PTB78" s="278" t="inlineStr"/>
      <c r="PTC78" s="278" t="inlineStr"/>
      <c r="PTD78" s="278" t="inlineStr"/>
      <c r="PTE78" s="278" t="inlineStr"/>
      <c r="PTF78" s="278" t="inlineStr"/>
      <c r="PTG78" s="278" t="inlineStr"/>
      <c r="PTH78" s="278" t="inlineStr"/>
      <c r="PTI78" s="278" t="inlineStr"/>
      <c r="PTJ78" s="278" t="inlineStr"/>
      <c r="PTK78" s="278" t="inlineStr"/>
      <c r="PTL78" s="278" t="inlineStr"/>
      <c r="PTM78" s="278" t="inlineStr"/>
      <c r="PTN78" s="278" t="inlineStr"/>
      <c r="PTO78" s="278" t="inlineStr"/>
      <c r="PTP78" s="278" t="inlineStr"/>
      <c r="PTQ78" s="278" t="inlineStr"/>
      <c r="PTR78" s="278" t="inlineStr"/>
      <c r="PTS78" s="278" t="inlineStr"/>
      <c r="PTT78" s="278" t="inlineStr"/>
      <c r="PTU78" s="278" t="inlineStr"/>
      <c r="PTV78" s="278" t="inlineStr"/>
      <c r="PTW78" s="278" t="inlineStr"/>
      <c r="PTX78" s="278" t="inlineStr"/>
      <c r="PTY78" s="278" t="inlineStr"/>
      <c r="PTZ78" s="278" t="inlineStr"/>
      <c r="PUA78" s="278" t="inlineStr"/>
      <c r="PUB78" s="278" t="inlineStr"/>
      <c r="PUC78" s="278" t="inlineStr"/>
      <c r="PUD78" s="278" t="inlineStr"/>
      <c r="PUE78" s="278" t="inlineStr"/>
      <c r="PUF78" s="278" t="inlineStr"/>
      <c r="PUG78" s="278" t="inlineStr"/>
      <c r="PUH78" s="278" t="inlineStr"/>
      <c r="PUI78" s="278" t="inlineStr"/>
      <c r="PUJ78" s="278" t="inlineStr"/>
      <c r="PUK78" s="278" t="inlineStr"/>
      <c r="PUL78" s="278" t="inlineStr"/>
      <c r="PUM78" s="278" t="inlineStr"/>
      <c r="PUN78" s="278" t="inlineStr"/>
      <c r="PUO78" s="278" t="inlineStr"/>
      <c r="PUP78" s="278" t="inlineStr"/>
      <c r="PUQ78" s="278" t="inlineStr"/>
      <c r="PUR78" s="278" t="inlineStr"/>
      <c r="PUS78" s="278" t="inlineStr"/>
      <c r="PUT78" s="278" t="inlineStr"/>
      <c r="PUU78" s="278" t="inlineStr"/>
      <c r="PUV78" s="278" t="inlineStr"/>
      <c r="PUW78" s="278" t="inlineStr"/>
      <c r="PUX78" s="278" t="inlineStr"/>
      <c r="PUY78" s="278" t="inlineStr"/>
      <c r="PUZ78" s="278" t="inlineStr"/>
      <c r="PVA78" s="278" t="inlineStr"/>
      <c r="PVB78" s="278" t="inlineStr"/>
      <c r="PVC78" s="278" t="inlineStr"/>
      <c r="PVD78" s="278" t="inlineStr"/>
      <c r="PVE78" s="278" t="inlineStr"/>
      <c r="PVF78" s="278" t="inlineStr"/>
      <c r="PVG78" s="278" t="inlineStr"/>
      <c r="PVH78" s="278" t="inlineStr"/>
      <c r="PVI78" s="278" t="inlineStr"/>
      <c r="PVJ78" s="278" t="inlineStr"/>
      <c r="PVK78" s="278" t="inlineStr"/>
      <c r="PVL78" s="278" t="inlineStr"/>
      <c r="PVM78" s="278" t="inlineStr"/>
      <c r="PVN78" s="278" t="inlineStr"/>
      <c r="PVO78" s="278" t="inlineStr"/>
      <c r="PVP78" s="278" t="inlineStr"/>
      <c r="PVQ78" s="278" t="inlineStr"/>
      <c r="PVR78" s="278" t="inlineStr"/>
      <c r="PVS78" s="278" t="inlineStr"/>
      <c r="PVT78" s="278" t="inlineStr"/>
      <c r="PVU78" s="278" t="inlineStr"/>
      <c r="PVV78" s="278" t="inlineStr"/>
      <c r="PVW78" s="278" t="inlineStr"/>
      <c r="PVX78" s="278" t="inlineStr"/>
      <c r="PVY78" s="278" t="inlineStr"/>
      <c r="PVZ78" s="278" t="inlineStr"/>
      <c r="PWA78" s="278" t="inlineStr"/>
      <c r="PWB78" s="278" t="inlineStr"/>
      <c r="PWC78" s="278" t="inlineStr"/>
      <c r="PWD78" s="278" t="inlineStr"/>
      <c r="PWE78" s="278" t="inlineStr"/>
      <c r="PWF78" s="278" t="inlineStr"/>
      <c r="PWG78" s="278" t="inlineStr"/>
      <c r="PWH78" s="278" t="inlineStr"/>
      <c r="PWI78" s="278" t="inlineStr"/>
      <c r="PWJ78" s="278" t="inlineStr"/>
      <c r="PWK78" s="278" t="inlineStr"/>
      <c r="PWL78" s="278" t="inlineStr"/>
      <c r="PWM78" s="278" t="inlineStr"/>
      <c r="PWN78" s="278" t="inlineStr"/>
      <c r="PWO78" s="278" t="inlineStr"/>
      <c r="PWP78" s="278" t="inlineStr"/>
      <c r="PWQ78" s="278" t="inlineStr"/>
      <c r="PWR78" s="278" t="inlineStr"/>
      <c r="PWS78" s="278" t="inlineStr"/>
      <c r="PWT78" s="278" t="inlineStr"/>
      <c r="PWU78" s="278" t="inlineStr"/>
      <c r="PWV78" s="278" t="inlineStr"/>
      <c r="PWW78" s="278" t="inlineStr"/>
      <c r="PWX78" s="278" t="inlineStr"/>
      <c r="PWY78" s="278" t="inlineStr"/>
      <c r="PWZ78" s="278" t="inlineStr"/>
      <c r="PXA78" s="278" t="inlineStr"/>
      <c r="PXB78" s="278" t="inlineStr"/>
      <c r="PXC78" s="278" t="inlineStr"/>
      <c r="PXD78" s="278" t="inlineStr"/>
      <c r="PXE78" s="278" t="inlineStr"/>
      <c r="PXF78" s="278" t="inlineStr"/>
      <c r="PXG78" s="278" t="inlineStr"/>
      <c r="PXH78" s="278" t="inlineStr"/>
      <c r="PXI78" s="278" t="inlineStr"/>
      <c r="PXJ78" s="278" t="inlineStr"/>
      <c r="PXK78" s="278" t="inlineStr"/>
      <c r="PXL78" s="278" t="inlineStr"/>
      <c r="PXM78" s="278" t="inlineStr"/>
      <c r="PXN78" s="278" t="inlineStr"/>
      <c r="PXO78" s="278" t="inlineStr"/>
      <c r="PXP78" s="278" t="inlineStr"/>
      <c r="PXQ78" s="278" t="inlineStr"/>
      <c r="PXR78" s="278" t="inlineStr"/>
      <c r="PXS78" s="278" t="inlineStr"/>
      <c r="PXT78" s="278" t="inlineStr"/>
      <c r="PXU78" s="278" t="inlineStr"/>
      <c r="PXV78" s="278" t="inlineStr"/>
      <c r="PXW78" s="278" t="inlineStr"/>
      <c r="PXX78" s="278" t="inlineStr"/>
      <c r="PXY78" s="278" t="inlineStr"/>
      <c r="PXZ78" s="278" t="inlineStr"/>
      <c r="PYA78" s="278" t="inlineStr"/>
      <c r="PYB78" s="278" t="inlineStr"/>
      <c r="PYC78" s="278" t="inlineStr"/>
      <c r="PYD78" s="278" t="inlineStr"/>
      <c r="PYE78" s="278" t="inlineStr"/>
      <c r="PYF78" s="278" t="inlineStr"/>
      <c r="PYG78" s="278" t="inlineStr"/>
      <c r="PYH78" s="278" t="inlineStr"/>
      <c r="PYI78" s="278" t="inlineStr"/>
      <c r="PYJ78" s="278" t="inlineStr"/>
      <c r="PYK78" s="278" t="inlineStr"/>
      <c r="PYL78" s="278" t="inlineStr"/>
      <c r="PYM78" s="278" t="inlineStr"/>
      <c r="PYN78" s="278" t="inlineStr"/>
      <c r="PYO78" s="278" t="inlineStr"/>
      <c r="PYP78" s="278" t="inlineStr"/>
      <c r="PYQ78" s="278" t="inlineStr"/>
      <c r="PYR78" s="278" t="inlineStr"/>
      <c r="PYS78" s="278" t="inlineStr"/>
      <c r="PYT78" s="278" t="inlineStr"/>
      <c r="PYU78" s="278" t="inlineStr"/>
      <c r="PYV78" s="278" t="inlineStr"/>
      <c r="PYW78" s="278" t="inlineStr"/>
      <c r="PYX78" s="278" t="inlineStr"/>
      <c r="PYY78" s="278" t="inlineStr"/>
      <c r="PYZ78" s="278" t="inlineStr"/>
      <c r="PZA78" s="278" t="inlineStr"/>
      <c r="PZB78" s="278" t="inlineStr"/>
      <c r="PZC78" s="278" t="inlineStr"/>
      <c r="PZD78" s="278" t="inlineStr"/>
      <c r="PZE78" s="278" t="inlineStr"/>
      <c r="PZF78" s="278" t="inlineStr"/>
      <c r="PZG78" s="278" t="inlineStr"/>
      <c r="PZH78" s="278" t="inlineStr"/>
      <c r="PZI78" s="278" t="inlineStr"/>
      <c r="PZJ78" s="278" t="inlineStr"/>
      <c r="PZK78" s="278" t="inlineStr"/>
      <c r="PZL78" s="278" t="inlineStr"/>
      <c r="PZM78" s="278" t="inlineStr"/>
      <c r="PZN78" s="278" t="inlineStr"/>
      <c r="PZO78" s="278" t="inlineStr"/>
      <c r="PZP78" s="278" t="inlineStr"/>
      <c r="PZQ78" s="278" t="inlineStr"/>
      <c r="PZR78" s="278" t="inlineStr"/>
      <c r="PZS78" s="278" t="inlineStr"/>
      <c r="PZT78" s="278" t="inlineStr"/>
      <c r="PZU78" s="278" t="inlineStr"/>
      <c r="PZV78" s="278" t="inlineStr"/>
      <c r="PZW78" s="278" t="inlineStr"/>
      <c r="PZX78" s="278" t="inlineStr"/>
      <c r="PZY78" s="278" t="inlineStr"/>
      <c r="PZZ78" s="278" t="inlineStr"/>
      <c r="QAA78" s="278" t="inlineStr"/>
      <c r="QAB78" s="278" t="inlineStr"/>
      <c r="QAC78" s="278" t="inlineStr"/>
      <c r="QAD78" s="278" t="inlineStr"/>
      <c r="QAE78" s="278" t="inlineStr"/>
      <c r="QAF78" s="278" t="inlineStr"/>
      <c r="QAG78" s="278" t="inlineStr"/>
      <c r="QAH78" s="278" t="inlineStr"/>
      <c r="QAI78" s="278" t="inlineStr"/>
      <c r="QAJ78" s="278" t="inlineStr"/>
      <c r="QAK78" s="278" t="inlineStr"/>
      <c r="QAL78" s="278" t="inlineStr"/>
      <c r="QAM78" s="278" t="inlineStr"/>
      <c r="QAN78" s="278" t="inlineStr"/>
      <c r="QAO78" s="278" t="inlineStr"/>
      <c r="QAP78" s="278" t="inlineStr"/>
      <c r="QAQ78" s="278" t="inlineStr"/>
      <c r="QAR78" s="278" t="inlineStr"/>
      <c r="QAS78" s="278" t="inlineStr"/>
      <c r="QAT78" s="278" t="inlineStr"/>
      <c r="QAU78" s="278" t="inlineStr"/>
      <c r="QAV78" s="278" t="inlineStr"/>
      <c r="QAW78" s="278" t="inlineStr"/>
      <c r="QAX78" s="278" t="inlineStr"/>
      <c r="QAY78" s="278" t="inlineStr"/>
      <c r="QAZ78" s="278" t="inlineStr"/>
      <c r="QBA78" s="278" t="inlineStr"/>
      <c r="QBB78" s="278" t="inlineStr"/>
      <c r="QBC78" s="278" t="inlineStr"/>
      <c r="QBD78" s="278" t="inlineStr"/>
      <c r="QBE78" s="278" t="inlineStr"/>
      <c r="QBF78" s="278" t="inlineStr"/>
      <c r="QBG78" s="278" t="inlineStr"/>
      <c r="QBH78" s="278" t="inlineStr"/>
      <c r="QBI78" s="278" t="inlineStr"/>
      <c r="QBJ78" s="278" t="inlineStr"/>
      <c r="QBK78" s="278" t="inlineStr"/>
      <c r="QBL78" s="278" t="inlineStr"/>
      <c r="QBM78" s="278" t="inlineStr"/>
      <c r="QBN78" s="278" t="inlineStr"/>
      <c r="QBO78" s="278" t="inlineStr"/>
      <c r="QBP78" s="278" t="inlineStr"/>
      <c r="QBQ78" s="278" t="inlineStr"/>
      <c r="QBR78" s="278" t="inlineStr"/>
      <c r="QBS78" s="278" t="inlineStr"/>
      <c r="QBT78" s="278" t="inlineStr"/>
      <c r="QBU78" s="278" t="inlineStr"/>
      <c r="QBV78" s="278" t="inlineStr"/>
      <c r="QBW78" s="278" t="inlineStr"/>
      <c r="QBX78" s="278" t="inlineStr"/>
      <c r="QBY78" s="278" t="inlineStr"/>
      <c r="QBZ78" s="278" t="inlineStr"/>
      <c r="QCA78" s="278" t="inlineStr"/>
      <c r="QCB78" s="278" t="inlineStr"/>
      <c r="QCC78" s="278" t="inlineStr"/>
      <c r="QCD78" s="278" t="inlineStr"/>
      <c r="QCE78" s="278" t="inlineStr"/>
      <c r="QCF78" s="278" t="inlineStr"/>
      <c r="QCG78" s="278" t="inlineStr"/>
      <c r="QCH78" s="278" t="inlineStr"/>
      <c r="QCI78" s="278" t="inlineStr"/>
      <c r="QCJ78" s="278" t="inlineStr"/>
      <c r="QCK78" s="278" t="inlineStr"/>
      <c r="QCL78" s="278" t="inlineStr"/>
      <c r="QCM78" s="278" t="inlineStr"/>
      <c r="QCN78" s="278" t="inlineStr"/>
      <c r="QCO78" s="278" t="inlineStr"/>
      <c r="QCP78" s="278" t="inlineStr"/>
      <c r="QCQ78" s="278" t="inlineStr"/>
      <c r="QCR78" s="278" t="inlineStr"/>
      <c r="QCS78" s="278" t="inlineStr"/>
      <c r="QCT78" s="278" t="inlineStr"/>
      <c r="QCU78" s="278" t="inlineStr"/>
      <c r="QCV78" s="278" t="inlineStr"/>
      <c r="QCW78" s="278" t="inlineStr"/>
      <c r="QCX78" s="278" t="inlineStr"/>
      <c r="QCY78" s="278" t="inlineStr"/>
      <c r="QCZ78" s="278" t="inlineStr"/>
      <c r="QDA78" s="278" t="inlineStr"/>
      <c r="QDB78" s="278" t="inlineStr"/>
      <c r="QDC78" s="278" t="inlineStr"/>
      <c r="QDD78" s="278" t="inlineStr"/>
      <c r="QDE78" s="278" t="inlineStr"/>
      <c r="QDF78" s="278" t="inlineStr"/>
      <c r="QDG78" s="278" t="inlineStr"/>
      <c r="QDH78" s="278" t="inlineStr"/>
      <c r="QDI78" s="278" t="inlineStr"/>
      <c r="QDJ78" s="278" t="inlineStr"/>
      <c r="QDK78" s="278" t="inlineStr"/>
      <c r="QDL78" s="278" t="inlineStr"/>
      <c r="QDM78" s="278" t="inlineStr"/>
      <c r="QDN78" s="278" t="inlineStr"/>
      <c r="QDO78" s="278" t="inlineStr"/>
      <c r="QDP78" s="278" t="inlineStr"/>
      <c r="QDQ78" s="278" t="inlineStr"/>
      <c r="QDR78" s="278" t="inlineStr"/>
      <c r="QDS78" s="278" t="inlineStr"/>
      <c r="QDT78" s="278" t="inlineStr"/>
      <c r="QDU78" s="278" t="inlineStr"/>
      <c r="QDV78" s="278" t="inlineStr"/>
      <c r="QDW78" s="278" t="inlineStr"/>
      <c r="QDX78" s="278" t="inlineStr"/>
      <c r="QDY78" s="278" t="inlineStr"/>
      <c r="QDZ78" s="278" t="inlineStr"/>
      <c r="QEA78" s="278" t="inlineStr"/>
      <c r="QEB78" s="278" t="inlineStr"/>
      <c r="QEC78" s="278" t="inlineStr"/>
      <c r="QED78" s="278" t="inlineStr"/>
      <c r="QEE78" s="278" t="inlineStr"/>
      <c r="QEF78" s="278" t="inlineStr"/>
      <c r="QEG78" s="278" t="inlineStr"/>
      <c r="QEH78" s="278" t="inlineStr"/>
      <c r="QEI78" s="278" t="inlineStr"/>
      <c r="QEJ78" s="278" t="inlineStr"/>
      <c r="QEK78" s="278" t="inlineStr"/>
      <c r="QEL78" s="278" t="inlineStr"/>
      <c r="QEM78" s="278" t="inlineStr"/>
      <c r="QEN78" s="278" t="inlineStr"/>
      <c r="QEO78" s="278" t="inlineStr"/>
      <c r="QEP78" s="278" t="inlineStr"/>
      <c r="QEQ78" s="278" t="inlineStr"/>
      <c r="QER78" s="278" t="inlineStr"/>
      <c r="QES78" s="278" t="inlineStr"/>
      <c r="QET78" s="278" t="inlineStr"/>
      <c r="QEU78" s="278" t="inlineStr"/>
      <c r="QEV78" s="278" t="inlineStr"/>
      <c r="QEW78" s="278" t="inlineStr"/>
      <c r="QEX78" s="278" t="inlineStr"/>
      <c r="QEY78" s="278" t="inlineStr"/>
      <c r="QEZ78" s="278" t="inlineStr"/>
      <c r="QFA78" s="278" t="inlineStr"/>
      <c r="QFB78" s="278" t="inlineStr"/>
      <c r="QFC78" s="278" t="inlineStr"/>
      <c r="QFD78" s="278" t="inlineStr"/>
      <c r="QFE78" s="278" t="inlineStr"/>
      <c r="QFF78" s="278" t="inlineStr"/>
      <c r="QFG78" s="278" t="inlineStr"/>
      <c r="QFH78" s="278" t="inlineStr"/>
      <c r="QFI78" s="278" t="inlineStr"/>
      <c r="QFJ78" s="278" t="inlineStr"/>
      <c r="QFK78" s="278" t="inlineStr"/>
      <c r="QFL78" s="278" t="inlineStr"/>
      <c r="QFM78" s="278" t="inlineStr"/>
      <c r="QFN78" s="278" t="inlineStr"/>
      <c r="QFO78" s="278" t="inlineStr"/>
      <c r="QFP78" s="278" t="inlineStr"/>
      <c r="QFQ78" s="278" t="inlineStr"/>
      <c r="QFR78" s="278" t="inlineStr"/>
      <c r="QFS78" s="278" t="inlineStr"/>
      <c r="QFT78" s="278" t="inlineStr"/>
      <c r="QFU78" s="278" t="inlineStr"/>
      <c r="QFV78" s="278" t="inlineStr"/>
      <c r="QFW78" s="278" t="inlineStr"/>
      <c r="QFX78" s="278" t="inlineStr"/>
      <c r="QFY78" s="278" t="inlineStr"/>
      <c r="QFZ78" s="278" t="inlineStr"/>
      <c r="QGA78" s="278" t="inlineStr"/>
      <c r="QGB78" s="278" t="inlineStr"/>
      <c r="QGC78" s="278" t="inlineStr"/>
      <c r="QGD78" s="278" t="inlineStr"/>
      <c r="QGE78" s="278" t="inlineStr"/>
      <c r="QGF78" s="278" t="inlineStr"/>
      <c r="QGG78" s="278" t="inlineStr"/>
      <c r="QGH78" s="278" t="inlineStr"/>
      <c r="QGI78" s="278" t="inlineStr"/>
      <c r="QGJ78" s="278" t="inlineStr"/>
      <c r="QGK78" s="278" t="inlineStr"/>
      <c r="QGL78" s="278" t="inlineStr"/>
      <c r="QGM78" s="278" t="inlineStr"/>
      <c r="QGN78" s="278" t="inlineStr"/>
      <c r="QGO78" s="278" t="inlineStr"/>
      <c r="QGP78" s="278" t="inlineStr"/>
      <c r="QGQ78" s="278" t="inlineStr"/>
      <c r="QGR78" s="278" t="inlineStr"/>
      <c r="QGS78" s="278" t="inlineStr"/>
      <c r="QGT78" s="278" t="inlineStr"/>
      <c r="QGU78" s="278" t="inlineStr"/>
      <c r="QGV78" s="278" t="inlineStr"/>
      <c r="QGW78" s="278" t="inlineStr"/>
      <c r="QGX78" s="278" t="inlineStr"/>
      <c r="QGY78" s="278" t="inlineStr"/>
      <c r="QGZ78" s="278" t="inlineStr"/>
      <c r="QHA78" s="278" t="inlineStr"/>
      <c r="QHB78" s="278" t="inlineStr"/>
      <c r="QHC78" s="278" t="inlineStr"/>
      <c r="QHD78" s="278" t="inlineStr"/>
      <c r="QHE78" s="278" t="inlineStr"/>
      <c r="QHF78" s="278" t="inlineStr"/>
      <c r="QHG78" s="278" t="inlineStr"/>
      <c r="QHH78" s="278" t="inlineStr"/>
      <c r="QHI78" s="278" t="inlineStr"/>
      <c r="QHJ78" s="278" t="inlineStr"/>
      <c r="QHK78" s="278" t="inlineStr"/>
      <c r="QHL78" s="278" t="inlineStr"/>
      <c r="QHM78" s="278" t="inlineStr"/>
      <c r="QHN78" s="278" t="inlineStr"/>
      <c r="QHO78" s="278" t="inlineStr"/>
      <c r="QHP78" s="278" t="inlineStr"/>
      <c r="QHQ78" s="278" t="inlineStr"/>
      <c r="QHR78" s="278" t="inlineStr"/>
      <c r="QHS78" s="278" t="inlineStr"/>
      <c r="QHT78" s="278" t="inlineStr"/>
      <c r="QHU78" s="278" t="inlineStr"/>
      <c r="QHV78" s="278" t="inlineStr"/>
      <c r="QHW78" s="278" t="inlineStr"/>
      <c r="QHX78" s="278" t="inlineStr"/>
      <c r="QHY78" s="278" t="inlineStr"/>
      <c r="QHZ78" s="278" t="inlineStr"/>
      <c r="QIA78" s="278" t="inlineStr"/>
      <c r="QIB78" s="278" t="inlineStr"/>
      <c r="QIC78" s="278" t="inlineStr"/>
      <c r="QID78" s="278" t="inlineStr"/>
      <c r="QIE78" s="278" t="inlineStr"/>
      <c r="QIF78" s="278" t="inlineStr"/>
      <c r="QIG78" s="278" t="inlineStr"/>
      <c r="QIH78" s="278" t="inlineStr"/>
      <c r="QII78" s="278" t="inlineStr"/>
      <c r="QIJ78" s="278" t="inlineStr"/>
      <c r="QIK78" s="278" t="inlineStr"/>
      <c r="QIL78" s="278" t="inlineStr"/>
      <c r="QIM78" s="278" t="inlineStr"/>
      <c r="QIN78" s="278" t="inlineStr"/>
      <c r="QIO78" s="278" t="inlineStr"/>
      <c r="QIP78" s="278" t="inlineStr"/>
      <c r="QIQ78" s="278" t="inlineStr"/>
      <c r="QIR78" s="278" t="inlineStr"/>
      <c r="QIS78" s="278" t="inlineStr"/>
      <c r="QIT78" s="278" t="inlineStr"/>
      <c r="QIU78" s="278" t="inlineStr"/>
      <c r="QIV78" s="278" t="inlineStr"/>
      <c r="QIW78" s="278" t="inlineStr"/>
      <c r="QIX78" s="278" t="inlineStr"/>
      <c r="QIY78" s="278" t="inlineStr"/>
      <c r="QIZ78" s="278" t="inlineStr"/>
      <c r="QJA78" s="278" t="inlineStr"/>
      <c r="QJB78" s="278" t="inlineStr"/>
      <c r="QJC78" s="278" t="inlineStr"/>
      <c r="QJD78" s="278" t="inlineStr"/>
      <c r="QJE78" s="278" t="inlineStr"/>
      <c r="QJF78" s="278" t="inlineStr"/>
      <c r="QJG78" s="278" t="inlineStr"/>
      <c r="QJH78" s="278" t="inlineStr"/>
      <c r="QJI78" s="278" t="inlineStr"/>
      <c r="QJJ78" s="278" t="inlineStr"/>
      <c r="QJK78" s="278" t="inlineStr"/>
      <c r="QJL78" s="278" t="inlineStr"/>
      <c r="QJM78" s="278" t="inlineStr"/>
      <c r="QJN78" s="278" t="inlineStr"/>
      <c r="QJO78" s="278" t="inlineStr"/>
      <c r="QJP78" s="278" t="inlineStr"/>
      <c r="QJQ78" s="278" t="inlineStr"/>
      <c r="QJR78" s="278" t="inlineStr"/>
      <c r="QJS78" s="278" t="inlineStr"/>
      <c r="QJT78" s="278" t="inlineStr"/>
      <c r="QJU78" s="278" t="inlineStr"/>
      <c r="QJV78" s="278" t="inlineStr"/>
      <c r="QJW78" s="278" t="inlineStr"/>
      <c r="QJX78" s="278" t="inlineStr"/>
      <c r="QJY78" s="278" t="inlineStr"/>
      <c r="QJZ78" s="278" t="inlineStr"/>
      <c r="QKA78" s="278" t="inlineStr"/>
      <c r="QKB78" s="278" t="inlineStr"/>
      <c r="QKC78" s="278" t="inlineStr"/>
      <c r="QKD78" s="278" t="inlineStr"/>
      <c r="QKE78" s="278" t="inlineStr"/>
      <c r="QKF78" s="278" t="inlineStr"/>
      <c r="QKG78" s="278" t="inlineStr"/>
      <c r="QKH78" s="278" t="inlineStr"/>
      <c r="QKI78" s="278" t="inlineStr"/>
      <c r="QKJ78" s="278" t="inlineStr"/>
      <c r="QKK78" s="278" t="inlineStr"/>
      <c r="QKL78" s="278" t="inlineStr"/>
      <c r="QKM78" s="278" t="inlineStr"/>
      <c r="QKN78" s="278" t="inlineStr"/>
      <c r="QKO78" s="278" t="inlineStr"/>
      <c r="QKP78" s="278" t="inlineStr"/>
      <c r="QKQ78" s="278" t="inlineStr"/>
      <c r="QKR78" s="278" t="inlineStr"/>
      <c r="QKS78" s="278" t="inlineStr"/>
      <c r="QKT78" s="278" t="inlineStr"/>
      <c r="QKU78" s="278" t="inlineStr"/>
      <c r="QKV78" s="278" t="inlineStr"/>
      <c r="QKW78" s="278" t="inlineStr"/>
      <c r="QKX78" s="278" t="inlineStr"/>
      <c r="QKY78" s="278" t="inlineStr"/>
      <c r="QKZ78" s="278" t="inlineStr"/>
      <c r="QLA78" s="278" t="inlineStr"/>
      <c r="QLB78" s="278" t="inlineStr"/>
      <c r="QLC78" s="278" t="inlineStr"/>
      <c r="QLD78" s="278" t="inlineStr"/>
      <c r="QLE78" s="278" t="inlineStr"/>
      <c r="QLF78" s="278" t="inlineStr"/>
      <c r="QLG78" s="278" t="inlineStr"/>
      <c r="QLH78" s="278" t="inlineStr"/>
      <c r="QLI78" s="278" t="inlineStr"/>
      <c r="QLJ78" s="278" t="inlineStr"/>
      <c r="QLK78" s="278" t="inlineStr"/>
      <c r="QLL78" s="278" t="inlineStr"/>
      <c r="QLM78" s="278" t="inlineStr"/>
      <c r="QLN78" s="278" t="inlineStr"/>
      <c r="QLO78" s="278" t="inlineStr"/>
      <c r="QLP78" s="278" t="inlineStr"/>
      <c r="QLQ78" s="278" t="inlineStr"/>
      <c r="QLR78" s="278" t="inlineStr"/>
      <c r="QLS78" s="278" t="inlineStr"/>
      <c r="QLT78" s="278" t="inlineStr"/>
      <c r="QLU78" s="278" t="inlineStr"/>
      <c r="QLV78" s="278" t="inlineStr"/>
      <c r="QLW78" s="278" t="inlineStr"/>
      <c r="QLX78" s="278" t="inlineStr"/>
      <c r="QLY78" s="278" t="inlineStr"/>
      <c r="QLZ78" s="278" t="inlineStr"/>
      <c r="QMA78" s="278" t="inlineStr"/>
      <c r="QMB78" s="278" t="inlineStr"/>
      <c r="QMC78" s="278" t="inlineStr"/>
      <c r="QMD78" s="278" t="inlineStr"/>
      <c r="QME78" s="278" t="inlineStr"/>
      <c r="QMF78" s="278" t="inlineStr"/>
      <c r="QMG78" s="278" t="inlineStr"/>
      <c r="QMH78" s="278" t="inlineStr"/>
      <c r="QMI78" s="278" t="inlineStr"/>
      <c r="QMJ78" s="278" t="inlineStr"/>
      <c r="QMK78" s="278" t="inlineStr"/>
      <c r="QML78" s="278" t="inlineStr"/>
      <c r="QMM78" s="278" t="inlineStr"/>
      <c r="QMN78" s="278" t="inlineStr"/>
      <c r="QMO78" s="278" t="inlineStr"/>
      <c r="QMP78" s="278" t="inlineStr"/>
      <c r="QMQ78" s="278" t="inlineStr"/>
      <c r="QMR78" s="278" t="inlineStr"/>
      <c r="QMS78" s="278" t="inlineStr"/>
      <c r="QMT78" s="278" t="inlineStr"/>
      <c r="QMU78" s="278" t="inlineStr"/>
      <c r="QMV78" s="278" t="inlineStr"/>
      <c r="QMW78" s="278" t="inlineStr"/>
      <c r="QMX78" s="278" t="inlineStr"/>
      <c r="QMY78" s="278" t="inlineStr"/>
      <c r="QMZ78" s="278" t="inlineStr"/>
      <c r="QNA78" s="278" t="inlineStr"/>
      <c r="QNB78" s="278" t="inlineStr"/>
      <c r="QNC78" s="278" t="inlineStr"/>
      <c r="QND78" s="278" t="inlineStr"/>
      <c r="QNE78" s="278" t="inlineStr"/>
      <c r="QNF78" s="278" t="inlineStr"/>
      <c r="QNG78" s="278" t="inlineStr"/>
      <c r="QNH78" s="278" t="inlineStr"/>
      <c r="QNI78" s="278" t="inlineStr"/>
      <c r="QNJ78" s="278" t="inlineStr"/>
      <c r="QNK78" s="278" t="inlineStr"/>
      <c r="QNL78" s="278" t="inlineStr"/>
      <c r="QNM78" s="278" t="inlineStr"/>
      <c r="QNN78" s="278" t="inlineStr"/>
      <c r="QNO78" s="278" t="inlineStr"/>
      <c r="QNP78" s="278" t="inlineStr"/>
      <c r="QNQ78" s="278" t="inlineStr"/>
      <c r="QNR78" s="278" t="inlineStr"/>
      <c r="QNS78" s="278" t="inlineStr"/>
      <c r="QNT78" s="278" t="inlineStr"/>
      <c r="QNU78" s="278" t="inlineStr"/>
      <c r="QNV78" s="278" t="inlineStr"/>
      <c r="QNW78" s="278" t="inlineStr"/>
      <c r="QNX78" s="278" t="inlineStr"/>
      <c r="QNY78" s="278" t="inlineStr"/>
      <c r="QNZ78" s="278" t="inlineStr"/>
      <c r="QOA78" s="278" t="inlineStr"/>
      <c r="QOB78" s="278" t="inlineStr"/>
      <c r="QOC78" s="278" t="inlineStr"/>
      <c r="QOD78" s="278" t="inlineStr"/>
      <c r="QOE78" s="278" t="inlineStr"/>
      <c r="QOF78" s="278" t="inlineStr"/>
      <c r="QOG78" s="278" t="inlineStr"/>
      <c r="QOH78" s="278" t="inlineStr"/>
      <c r="QOI78" s="278" t="inlineStr"/>
      <c r="QOJ78" s="278" t="inlineStr"/>
      <c r="QOK78" s="278" t="inlineStr"/>
      <c r="QOL78" s="278" t="inlineStr"/>
      <c r="QOM78" s="278" t="inlineStr"/>
      <c r="QON78" s="278" t="inlineStr"/>
      <c r="QOO78" s="278" t="inlineStr"/>
      <c r="QOP78" s="278" t="inlineStr"/>
      <c r="QOQ78" s="278" t="inlineStr"/>
      <c r="QOR78" s="278" t="inlineStr"/>
      <c r="QOS78" s="278" t="inlineStr"/>
      <c r="QOT78" s="278" t="inlineStr"/>
      <c r="QOU78" s="278" t="inlineStr"/>
      <c r="QOV78" s="278" t="inlineStr"/>
      <c r="QOW78" s="278" t="inlineStr"/>
      <c r="QOX78" s="278" t="inlineStr"/>
      <c r="QOY78" s="278" t="inlineStr"/>
      <c r="QOZ78" s="278" t="inlineStr"/>
      <c r="QPA78" s="278" t="inlineStr"/>
      <c r="QPB78" s="278" t="inlineStr"/>
      <c r="QPC78" s="278" t="inlineStr"/>
      <c r="QPD78" s="278" t="inlineStr"/>
      <c r="QPE78" s="278" t="inlineStr"/>
      <c r="QPF78" s="278" t="inlineStr"/>
      <c r="QPG78" s="278" t="inlineStr"/>
      <c r="QPH78" s="278" t="inlineStr"/>
      <c r="QPI78" s="278" t="inlineStr"/>
      <c r="QPJ78" s="278" t="inlineStr"/>
      <c r="QPK78" s="278" t="inlineStr"/>
      <c r="QPL78" s="278" t="inlineStr"/>
      <c r="QPM78" s="278" t="inlineStr"/>
      <c r="QPN78" s="278" t="inlineStr"/>
      <c r="QPO78" s="278" t="inlineStr"/>
      <c r="QPP78" s="278" t="inlineStr"/>
      <c r="QPQ78" s="278" t="inlineStr"/>
      <c r="QPR78" s="278" t="inlineStr"/>
      <c r="QPS78" s="278" t="inlineStr"/>
      <c r="QPT78" s="278" t="inlineStr"/>
      <c r="QPU78" s="278" t="inlineStr"/>
      <c r="QPV78" s="278" t="inlineStr"/>
      <c r="QPW78" s="278" t="inlineStr"/>
      <c r="QPX78" s="278" t="inlineStr"/>
      <c r="QPY78" s="278" t="inlineStr"/>
      <c r="QPZ78" s="278" t="inlineStr"/>
      <c r="QQA78" s="278" t="inlineStr"/>
      <c r="QQB78" s="278" t="inlineStr"/>
      <c r="QQC78" s="278" t="inlineStr"/>
      <c r="QQD78" s="278" t="inlineStr"/>
      <c r="QQE78" s="278" t="inlineStr"/>
      <c r="QQF78" s="278" t="inlineStr"/>
      <c r="QQG78" s="278" t="inlineStr"/>
      <c r="QQH78" s="278" t="inlineStr"/>
      <c r="QQI78" s="278" t="inlineStr"/>
      <c r="QQJ78" s="278" t="inlineStr"/>
      <c r="QQK78" s="278" t="inlineStr"/>
      <c r="QQL78" s="278" t="inlineStr"/>
      <c r="QQM78" s="278" t="inlineStr"/>
      <c r="QQN78" s="278" t="inlineStr"/>
      <c r="QQO78" s="278" t="inlineStr"/>
      <c r="QQP78" s="278" t="inlineStr"/>
      <c r="QQQ78" s="278" t="inlineStr"/>
      <c r="QQR78" s="278" t="inlineStr"/>
      <c r="QQS78" s="278" t="inlineStr"/>
      <c r="QQT78" s="278" t="inlineStr"/>
      <c r="QQU78" s="278" t="inlineStr"/>
      <c r="QQV78" s="278" t="inlineStr"/>
      <c r="QQW78" s="278" t="inlineStr"/>
      <c r="QQX78" s="278" t="inlineStr"/>
      <c r="QQY78" s="278" t="inlineStr"/>
      <c r="QQZ78" s="278" t="inlineStr"/>
      <c r="QRA78" s="278" t="inlineStr"/>
      <c r="QRB78" s="278" t="inlineStr"/>
      <c r="QRC78" s="278" t="inlineStr"/>
      <c r="QRD78" s="278" t="inlineStr"/>
      <c r="QRE78" s="278" t="inlineStr"/>
      <c r="QRF78" s="278" t="inlineStr"/>
      <c r="QRG78" s="278" t="inlineStr"/>
      <c r="QRH78" s="278" t="inlineStr"/>
      <c r="QRI78" s="278" t="inlineStr"/>
      <c r="QRJ78" s="278" t="inlineStr"/>
      <c r="QRK78" s="278" t="inlineStr"/>
      <c r="QRL78" s="278" t="inlineStr"/>
      <c r="QRM78" s="278" t="inlineStr"/>
      <c r="QRN78" s="278" t="inlineStr"/>
      <c r="QRO78" s="278" t="inlineStr"/>
      <c r="QRP78" s="278" t="inlineStr"/>
      <c r="QRQ78" s="278" t="inlineStr"/>
      <c r="QRR78" s="278" t="inlineStr"/>
      <c r="QRS78" s="278" t="inlineStr"/>
      <c r="QRT78" s="278" t="inlineStr"/>
      <c r="QRU78" s="278" t="inlineStr"/>
      <c r="QRV78" s="278" t="inlineStr"/>
      <c r="QRW78" s="278" t="inlineStr"/>
      <c r="QRX78" s="278" t="inlineStr"/>
      <c r="QRY78" s="278" t="inlineStr"/>
      <c r="QRZ78" s="278" t="inlineStr"/>
      <c r="QSA78" s="278" t="inlineStr"/>
      <c r="QSB78" s="278" t="inlineStr"/>
      <c r="QSC78" s="278" t="inlineStr"/>
      <c r="QSD78" s="278" t="inlineStr"/>
      <c r="QSE78" s="278" t="inlineStr"/>
      <c r="QSF78" s="278" t="inlineStr"/>
      <c r="QSG78" s="278" t="inlineStr"/>
      <c r="QSH78" s="278" t="inlineStr"/>
      <c r="QSI78" s="278" t="inlineStr"/>
      <c r="QSJ78" s="278" t="inlineStr"/>
      <c r="QSK78" s="278" t="inlineStr"/>
      <c r="QSL78" s="278" t="inlineStr"/>
      <c r="QSM78" s="278" t="inlineStr"/>
      <c r="QSN78" s="278" t="inlineStr"/>
      <c r="QSO78" s="278" t="inlineStr"/>
      <c r="QSP78" s="278" t="inlineStr"/>
      <c r="QSQ78" s="278" t="inlineStr"/>
      <c r="QSR78" s="278" t="inlineStr"/>
      <c r="QSS78" s="278" t="inlineStr"/>
      <c r="QST78" s="278" t="inlineStr"/>
      <c r="QSU78" s="278" t="inlineStr"/>
      <c r="QSV78" s="278" t="inlineStr"/>
      <c r="QSW78" s="278" t="inlineStr"/>
      <c r="QSX78" s="278" t="inlineStr"/>
      <c r="QSY78" s="278" t="inlineStr"/>
      <c r="QSZ78" s="278" t="inlineStr"/>
      <c r="QTA78" s="278" t="inlineStr"/>
      <c r="QTB78" s="278" t="inlineStr"/>
      <c r="QTC78" s="278" t="inlineStr"/>
      <c r="QTD78" s="278" t="inlineStr"/>
      <c r="QTE78" s="278" t="inlineStr"/>
      <c r="QTF78" s="278" t="inlineStr"/>
      <c r="QTG78" s="278" t="inlineStr"/>
      <c r="QTH78" s="278" t="inlineStr"/>
      <c r="QTI78" s="278" t="inlineStr"/>
      <c r="QTJ78" s="278" t="inlineStr"/>
      <c r="QTK78" s="278" t="inlineStr"/>
      <c r="QTL78" s="278" t="inlineStr"/>
      <c r="QTM78" s="278" t="inlineStr"/>
      <c r="QTN78" s="278" t="inlineStr"/>
      <c r="QTO78" s="278" t="inlineStr"/>
      <c r="QTP78" s="278" t="inlineStr"/>
      <c r="QTQ78" s="278" t="inlineStr"/>
      <c r="QTR78" s="278" t="inlineStr"/>
      <c r="QTS78" s="278" t="inlineStr"/>
      <c r="QTT78" s="278" t="inlineStr"/>
      <c r="QTU78" s="278" t="inlineStr"/>
      <c r="QTV78" s="278" t="inlineStr"/>
      <c r="QTW78" s="278" t="inlineStr"/>
      <c r="QTX78" s="278" t="inlineStr"/>
      <c r="QTY78" s="278" t="inlineStr"/>
      <c r="QTZ78" s="278" t="inlineStr"/>
      <c r="QUA78" s="278" t="inlineStr"/>
      <c r="QUB78" s="278" t="inlineStr"/>
      <c r="QUC78" s="278" t="inlineStr"/>
      <c r="QUD78" s="278" t="inlineStr"/>
      <c r="QUE78" s="278" t="inlineStr"/>
      <c r="QUF78" s="278" t="inlineStr"/>
      <c r="QUG78" s="278" t="inlineStr"/>
      <c r="QUH78" s="278" t="inlineStr"/>
      <c r="QUI78" s="278" t="inlineStr"/>
      <c r="QUJ78" s="278" t="inlineStr"/>
      <c r="QUK78" s="278" t="inlineStr"/>
      <c r="QUL78" s="278" t="inlineStr"/>
      <c r="QUM78" s="278" t="inlineStr"/>
      <c r="QUN78" s="278" t="inlineStr"/>
      <c r="QUO78" s="278" t="inlineStr"/>
      <c r="QUP78" s="278" t="inlineStr"/>
      <c r="QUQ78" s="278" t="inlineStr"/>
      <c r="QUR78" s="278" t="inlineStr"/>
      <c r="QUS78" s="278" t="inlineStr"/>
      <c r="QUT78" s="278" t="inlineStr"/>
      <c r="QUU78" s="278" t="inlineStr"/>
      <c r="QUV78" s="278" t="inlineStr"/>
      <c r="QUW78" s="278" t="inlineStr"/>
      <c r="QUX78" s="278" t="inlineStr"/>
      <c r="QUY78" s="278" t="inlineStr"/>
      <c r="QUZ78" s="278" t="inlineStr"/>
      <c r="QVA78" s="278" t="inlineStr"/>
      <c r="QVB78" s="278" t="inlineStr"/>
      <c r="QVC78" s="278" t="inlineStr"/>
      <c r="QVD78" s="278" t="inlineStr"/>
      <c r="QVE78" s="278" t="inlineStr"/>
      <c r="QVF78" s="278" t="inlineStr"/>
      <c r="QVG78" s="278" t="inlineStr"/>
      <c r="QVH78" s="278" t="inlineStr"/>
      <c r="QVI78" s="278" t="inlineStr"/>
      <c r="QVJ78" s="278" t="inlineStr"/>
      <c r="QVK78" s="278" t="inlineStr"/>
      <c r="QVL78" s="278" t="inlineStr"/>
      <c r="QVM78" s="278" t="inlineStr"/>
      <c r="QVN78" s="278" t="inlineStr"/>
      <c r="QVO78" s="278" t="inlineStr"/>
      <c r="QVP78" s="278" t="inlineStr"/>
      <c r="QVQ78" s="278" t="inlineStr"/>
      <c r="QVR78" s="278" t="inlineStr"/>
      <c r="QVS78" s="278" t="inlineStr"/>
      <c r="QVT78" s="278" t="inlineStr"/>
      <c r="QVU78" s="278" t="inlineStr"/>
      <c r="QVV78" s="278" t="inlineStr"/>
      <c r="QVW78" s="278" t="inlineStr"/>
      <c r="QVX78" s="278" t="inlineStr"/>
      <c r="QVY78" s="278" t="inlineStr"/>
      <c r="QVZ78" s="278" t="inlineStr"/>
      <c r="QWA78" s="278" t="inlineStr"/>
      <c r="QWB78" s="278" t="inlineStr"/>
      <c r="QWC78" s="278" t="inlineStr"/>
      <c r="QWD78" s="278" t="inlineStr"/>
      <c r="QWE78" s="278" t="inlineStr"/>
      <c r="QWF78" s="278" t="inlineStr"/>
      <c r="QWG78" s="278" t="inlineStr"/>
      <c r="QWH78" s="278" t="inlineStr"/>
      <c r="QWI78" s="278" t="inlineStr"/>
      <c r="QWJ78" s="278" t="inlineStr"/>
      <c r="QWK78" s="278" t="inlineStr"/>
      <c r="QWL78" s="278" t="inlineStr"/>
      <c r="QWM78" s="278" t="inlineStr"/>
      <c r="QWN78" s="278" t="inlineStr"/>
      <c r="QWO78" s="278" t="inlineStr"/>
      <c r="QWP78" s="278" t="inlineStr"/>
      <c r="QWQ78" s="278" t="inlineStr"/>
      <c r="QWR78" s="278" t="inlineStr"/>
      <c r="QWS78" s="278" t="inlineStr"/>
      <c r="QWT78" s="278" t="inlineStr"/>
      <c r="QWU78" s="278" t="inlineStr"/>
      <c r="QWV78" s="278" t="inlineStr"/>
      <c r="QWW78" s="278" t="inlineStr"/>
      <c r="QWX78" s="278" t="inlineStr"/>
      <c r="QWY78" s="278" t="inlineStr"/>
      <c r="QWZ78" s="278" t="inlineStr"/>
      <c r="QXA78" s="278" t="inlineStr"/>
      <c r="QXB78" s="278" t="inlineStr"/>
      <c r="QXC78" s="278" t="inlineStr"/>
      <c r="QXD78" s="278" t="inlineStr"/>
      <c r="QXE78" s="278" t="inlineStr"/>
      <c r="QXF78" s="278" t="inlineStr"/>
      <c r="QXG78" s="278" t="inlineStr"/>
      <c r="QXH78" s="278" t="inlineStr"/>
      <c r="QXI78" s="278" t="inlineStr"/>
      <c r="QXJ78" s="278" t="inlineStr"/>
      <c r="QXK78" s="278" t="inlineStr"/>
      <c r="QXL78" s="278" t="inlineStr"/>
      <c r="QXM78" s="278" t="inlineStr"/>
      <c r="QXN78" s="278" t="inlineStr"/>
      <c r="QXO78" s="278" t="inlineStr"/>
      <c r="QXP78" s="278" t="inlineStr"/>
      <c r="QXQ78" s="278" t="inlineStr"/>
      <c r="QXR78" s="278" t="inlineStr"/>
      <c r="QXS78" s="278" t="inlineStr"/>
      <c r="QXT78" s="278" t="inlineStr"/>
      <c r="QXU78" s="278" t="inlineStr"/>
      <c r="QXV78" s="278" t="inlineStr"/>
      <c r="QXW78" s="278" t="inlineStr"/>
      <c r="QXX78" s="278" t="inlineStr"/>
      <c r="QXY78" s="278" t="inlineStr"/>
      <c r="QXZ78" s="278" t="inlineStr"/>
      <c r="QYA78" s="278" t="inlineStr"/>
      <c r="QYB78" s="278" t="inlineStr"/>
      <c r="QYC78" s="278" t="inlineStr"/>
      <c r="QYD78" s="278" t="inlineStr"/>
      <c r="QYE78" s="278" t="inlineStr"/>
      <c r="QYF78" s="278" t="inlineStr"/>
      <c r="QYG78" s="278" t="inlineStr"/>
      <c r="QYH78" s="278" t="inlineStr"/>
      <c r="QYI78" s="278" t="inlineStr"/>
      <c r="QYJ78" s="278" t="inlineStr"/>
      <c r="QYK78" s="278" t="inlineStr"/>
      <c r="QYL78" s="278" t="inlineStr"/>
      <c r="QYM78" s="278" t="inlineStr"/>
      <c r="QYN78" s="278" t="inlineStr"/>
      <c r="QYO78" s="278" t="inlineStr"/>
      <c r="QYP78" s="278" t="inlineStr"/>
      <c r="QYQ78" s="278" t="inlineStr"/>
      <c r="QYR78" s="278" t="inlineStr"/>
      <c r="QYS78" s="278" t="inlineStr"/>
      <c r="QYT78" s="278" t="inlineStr"/>
      <c r="QYU78" s="278" t="inlineStr"/>
      <c r="QYV78" s="278" t="inlineStr"/>
      <c r="QYW78" s="278" t="inlineStr"/>
      <c r="QYX78" s="278" t="inlineStr"/>
      <c r="QYY78" s="278" t="inlineStr"/>
      <c r="QYZ78" s="278" t="inlineStr"/>
      <c r="QZA78" s="278" t="inlineStr"/>
      <c r="QZB78" s="278" t="inlineStr"/>
      <c r="QZC78" s="278" t="inlineStr"/>
      <c r="QZD78" s="278" t="inlineStr"/>
      <c r="QZE78" s="278" t="inlineStr"/>
      <c r="QZF78" s="278" t="inlineStr"/>
      <c r="QZG78" s="278" t="inlineStr"/>
      <c r="QZH78" s="278" t="inlineStr"/>
      <c r="QZI78" s="278" t="inlineStr"/>
      <c r="QZJ78" s="278" t="inlineStr"/>
      <c r="QZK78" s="278" t="inlineStr"/>
      <c r="QZL78" s="278" t="inlineStr"/>
      <c r="QZM78" s="278" t="inlineStr"/>
      <c r="QZN78" s="278" t="inlineStr"/>
      <c r="QZO78" s="278" t="inlineStr"/>
      <c r="QZP78" s="278" t="inlineStr"/>
      <c r="QZQ78" s="278" t="inlineStr"/>
      <c r="QZR78" s="278" t="inlineStr"/>
      <c r="QZS78" s="278" t="inlineStr"/>
      <c r="QZT78" s="278" t="inlineStr"/>
      <c r="QZU78" s="278" t="inlineStr"/>
      <c r="QZV78" s="278" t="inlineStr"/>
      <c r="QZW78" s="278" t="inlineStr"/>
      <c r="QZX78" s="278" t="inlineStr"/>
      <c r="QZY78" s="278" t="inlineStr"/>
      <c r="QZZ78" s="278" t="inlineStr"/>
      <c r="RAA78" s="278" t="inlineStr"/>
      <c r="RAB78" s="278" t="inlineStr"/>
      <c r="RAC78" s="278" t="inlineStr"/>
      <c r="RAD78" s="278" t="inlineStr"/>
      <c r="RAE78" s="278" t="inlineStr"/>
      <c r="RAF78" s="278" t="inlineStr"/>
      <c r="RAG78" s="278" t="inlineStr"/>
      <c r="RAH78" s="278" t="inlineStr"/>
      <c r="RAI78" s="278" t="inlineStr"/>
      <c r="RAJ78" s="278" t="inlineStr"/>
      <c r="RAK78" s="278" t="inlineStr"/>
      <c r="RAL78" s="278" t="inlineStr"/>
      <c r="RAM78" s="278" t="inlineStr"/>
      <c r="RAN78" s="278" t="inlineStr"/>
      <c r="RAO78" s="278" t="inlineStr"/>
      <c r="RAP78" s="278" t="inlineStr"/>
      <c r="RAQ78" s="278" t="inlineStr"/>
      <c r="RAR78" s="278" t="inlineStr"/>
      <c r="RAS78" s="278" t="inlineStr"/>
      <c r="RAT78" s="278" t="inlineStr"/>
      <c r="RAU78" s="278" t="inlineStr"/>
      <c r="RAV78" s="278" t="inlineStr"/>
      <c r="RAW78" s="278" t="inlineStr"/>
      <c r="RAX78" s="278" t="inlineStr"/>
      <c r="RAY78" s="278" t="inlineStr"/>
      <c r="RAZ78" s="278" t="inlineStr"/>
      <c r="RBA78" s="278" t="inlineStr"/>
      <c r="RBB78" s="278" t="inlineStr"/>
      <c r="RBC78" s="278" t="inlineStr"/>
      <c r="RBD78" s="278" t="inlineStr"/>
      <c r="RBE78" s="278" t="inlineStr"/>
      <c r="RBF78" s="278" t="inlineStr"/>
      <c r="RBG78" s="278" t="inlineStr"/>
      <c r="RBH78" s="278" t="inlineStr"/>
      <c r="RBI78" s="278" t="inlineStr"/>
      <c r="RBJ78" s="278" t="inlineStr"/>
      <c r="RBK78" s="278" t="inlineStr"/>
      <c r="RBL78" s="278" t="inlineStr"/>
      <c r="RBM78" s="278" t="inlineStr"/>
      <c r="RBN78" s="278" t="inlineStr"/>
      <c r="RBO78" s="278" t="inlineStr"/>
      <c r="RBP78" s="278" t="inlineStr"/>
      <c r="RBQ78" s="278" t="inlineStr"/>
      <c r="RBR78" s="278" t="inlineStr"/>
      <c r="RBS78" s="278" t="inlineStr"/>
      <c r="RBT78" s="278" t="inlineStr"/>
      <c r="RBU78" s="278" t="inlineStr"/>
      <c r="RBV78" s="278" t="inlineStr"/>
      <c r="RBW78" s="278" t="inlineStr"/>
      <c r="RBX78" s="278" t="inlineStr"/>
      <c r="RBY78" s="278" t="inlineStr"/>
      <c r="RBZ78" s="278" t="inlineStr"/>
      <c r="RCA78" s="278" t="inlineStr"/>
      <c r="RCB78" s="278" t="inlineStr"/>
      <c r="RCC78" s="278" t="inlineStr"/>
      <c r="RCD78" s="278" t="inlineStr"/>
      <c r="RCE78" s="278" t="inlineStr"/>
      <c r="RCF78" s="278" t="inlineStr"/>
      <c r="RCG78" s="278" t="inlineStr"/>
      <c r="RCH78" s="278" t="inlineStr"/>
      <c r="RCI78" s="278" t="inlineStr"/>
      <c r="RCJ78" s="278" t="inlineStr"/>
      <c r="RCK78" s="278" t="inlineStr"/>
      <c r="RCL78" s="278" t="inlineStr"/>
      <c r="RCM78" s="278" t="inlineStr"/>
      <c r="RCN78" s="278" t="inlineStr"/>
      <c r="RCO78" s="278" t="inlineStr"/>
      <c r="RCP78" s="278" t="inlineStr"/>
      <c r="RCQ78" s="278" t="inlineStr"/>
      <c r="RCR78" s="278" t="inlineStr"/>
      <c r="RCS78" s="278" t="inlineStr"/>
      <c r="RCT78" s="278" t="inlineStr"/>
      <c r="RCU78" s="278" t="inlineStr"/>
      <c r="RCV78" s="278" t="inlineStr"/>
      <c r="RCW78" s="278" t="inlineStr"/>
      <c r="RCX78" s="278" t="inlineStr"/>
      <c r="RCY78" s="278" t="inlineStr"/>
      <c r="RCZ78" s="278" t="inlineStr"/>
      <c r="RDA78" s="278" t="inlineStr"/>
      <c r="RDB78" s="278" t="inlineStr"/>
      <c r="RDC78" s="278" t="inlineStr"/>
      <c r="RDD78" s="278" t="inlineStr"/>
      <c r="RDE78" s="278" t="inlineStr"/>
      <c r="RDF78" s="278" t="inlineStr"/>
      <c r="RDG78" s="278" t="inlineStr"/>
      <c r="RDH78" s="278" t="inlineStr"/>
      <c r="RDI78" s="278" t="inlineStr"/>
      <c r="RDJ78" s="278" t="inlineStr"/>
      <c r="RDK78" s="278" t="inlineStr"/>
      <c r="RDL78" s="278" t="inlineStr"/>
      <c r="RDM78" s="278" t="inlineStr"/>
      <c r="RDN78" s="278" t="inlineStr"/>
      <c r="RDO78" s="278" t="inlineStr"/>
      <c r="RDP78" s="278" t="inlineStr"/>
      <c r="RDQ78" s="278" t="inlineStr"/>
      <c r="RDR78" s="278" t="inlineStr"/>
      <c r="RDS78" s="278" t="inlineStr"/>
      <c r="RDT78" s="278" t="inlineStr"/>
      <c r="RDU78" s="278" t="inlineStr"/>
      <c r="RDV78" s="278" t="inlineStr"/>
      <c r="RDW78" s="278" t="inlineStr"/>
      <c r="RDX78" s="278" t="inlineStr"/>
      <c r="RDY78" s="278" t="inlineStr"/>
      <c r="RDZ78" s="278" t="inlineStr"/>
      <c r="REA78" s="278" t="inlineStr"/>
      <c r="REB78" s="278" t="inlineStr"/>
      <c r="REC78" s="278" t="inlineStr"/>
      <c r="RED78" s="278" t="inlineStr"/>
      <c r="REE78" s="278" t="inlineStr"/>
      <c r="REF78" s="278" t="inlineStr"/>
      <c r="REG78" s="278" t="inlineStr"/>
      <c r="REH78" s="278" t="inlineStr"/>
      <c r="REI78" s="278" t="inlineStr"/>
      <c r="REJ78" s="278" t="inlineStr"/>
      <c r="REK78" s="278" t="inlineStr"/>
      <c r="REL78" s="278" t="inlineStr"/>
      <c r="REM78" s="278" t="inlineStr"/>
      <c r="REN78" s="278" t="inlineStr"/>
      <c r="REO78" s="278" t="inlineStr"/>
      <c r="REP78" s="278" t="inlineStr"/>
      <c r="REQ78" s="278" t="inlineStr"/>
      <c r="RER78" s="278" t="inlineStr"/>
      <c r="RES78" s="278" t="inlineStr"/>
      <c r="RET78" s="278" t="inlineStr"/>
      <c r="REU78" s="278" t="inlineStr"/>
      <c r="REV78" s="278" t="inlineStr"/>
      <c r="REW78" s="278" t="inlineStr"/>
      <c r="REX78" s="278" t="inlineStr"/>
      <c r="REY78" s="278" t="inlineStr"/>
      <c r="REZ78" s="278" t="inlineStr"/>
      <c r="RFA78" s="278" t="inlineStr"/>
      <c r="RFB78" s="278" t="inlineStr"/>
      <c r="RFC78" s="278" t="inlineStr"/>
      <c r="RFD78" s="278" t="inlineStr"/>
      <c r="RFE78" s="278" t="inlineStr"/>
      <c r="RFF78" s="278" t="inlineStr"/>
      <c r="RFG78" s="278" t="inlineStr"/>
      <c r="RFH78" s="278" t="inlineStr"/>
      <c r="RFI78" s="278" t="inlineStr"/>
      <c r="RFJ78" s="278" t="inlineStr"/>
      <c r="RFK78" s="278" t="inlineStr"/>
      <c r="RFL78" s="278" t="inlineStr"/>
      <c r="RFM78" s="278" t="inlineStr"/>
      <c r="RFN78" s="278" t="inlineStr"/>
      <c r="RFO78" s="278" t="inlineStr"/>
      <c r="RFP78" s="278" t="inlineStr"/>
      <c r="RFQ78" s="278" t="inlineStr"/>
      <c r="RFR78" s="278" t="inlineStr"/>
      <c r="RFS78" s="278" t="inlineStr"/>
      <c r="RFT78" s="278" t="inlineStr"/>
      <c r="RFU78" s="278" t="inlineStr"/>
      <c r="RFV78" s="278" t="inlineStr"/>
      <c r="RFW78" s="278" t="inlineStr"/>
      <c r="RFX78" s="278" t="inlineStr"/>
      <c r="RFY78" s="278" t="inlineStr"/>
      <c r="RFZ78" s="278" t="inlineStr"/>
      <c r="RGA78" s="278" t="inlineStr"/>
      <c r="RGB78" s="278" t="inlineStr"/>
      <c r="RGC78" s="278" t="inlineStr"/>
      <c r="RGD78" s="278" t="inlineStr"/>
      <c r="RGE78" s="278" t="inlineStr"/>
      <c r="RGF78" s="278" t="inlineStr"/>
      <c r="RGG78" s="278" t="inlineStr"/>
      <c r="RGH78" s="278" t="inlineStr"/>
      <c r="RGI78" s="278" t="inlineStr"/>
      <c r="RGJ78" s="278" t="inlineStr"/>
      <c r="RGK78" s="278" t="inlineStr"/>
      <c r="RGL78" s="278" t="inlineStr"/>
      <c r="RGM78" s="278" t="inlineStr"/>
      <c r="RGN78" s="278" t="inlineStr"/>
      <c r="RGO78" s="278" t="inlineStr"/>
      <c r="RGP78" s="278" t="inlineStr"/>
      <c r="RGQ78" s="278" t="inlineStr"/>
      <c r="RGR78" s="278" t="inlineStr"/>
      <c r="RGS78" s="278" t="inlineStr"/>
      <c r="RGT78" s="278" t="inlineStr"/>
      <c r="RGU78" s="278" t="inlineStr"/>
      <c r="RGV78" s="278" t="inlineStr"/>
      <c r="RGW78" s="278" t="inlineStr"/>
      <c r="RGX78" s="278" t="inlineStr"/>
      <c r="RGY78" s="278" t="inlineStr"/>
      <c r="RGZ78" s="278" t="inlineStr"/>
      <c r="RHA78" s="278" t="inlineStr"/>
      <c r="RHB78" s="278" t="inlineStr"/>
      <c r="RHC78" s="278" t="inlineStr"/>
      <c r="RHD78" s="278" t="inlineStr"/>
      <c r="RHE78" s="278" t="inlineStr"/>
      <c r="RHF78" s="278" t="inlineStr"/>
      <c r="RHG78" s="278" t="inlineStr"/>
      <c r="RHH78" s="278" t="inlineStr"/>
      <c r="RHI78" s="278" t="inlineStr"/>
      <c r="RHJ78" s="278" t="inlineStr"/>
      <c r="RHK78" s="278" t="inlineStr"/>
      <c r="RHL78" s="278" t="inlineStr"/>
      <c r="RHM78" s="278" t="inlineStr"/>
      <c r="RHN78" s="278" t="inlineStr"/>
      <c r="RHO78" s="278" t="inlineStr"/>
      <c r="RHP78" s="278" t="inlineStr"/>
      <c r="RHQ78" s="278" t="inlineStr"/>
      <c r="RHR78" s="278" t="inlineStr"/>
      <c r="RHS78" s="278" t="inlineStr"/>
      <c r="RHT78" s="278" t="inlineStr"/>
      <c r="RHU78" s="278" t="inlineStr"/>
      <c r="RHV78" s="278" t="inlineStr"/>
      <c r="RHW78" s="278" t="inlineStr"/>
      <c r="RHX78" s="278" t="inlineStr"/>
      <c r="RHY78" s="278" t="inlineStr"/>
      <c r="RHZ78" s="278" t="inlineStr"/>
      <c r="RIA78" s="278" t="inlineStr"/>
      <c r="RIB78" s="278" t="inlineStr"/>
      <c r="RIC78" s="278" t="inlineStr"/>
      <c r="RID78" s="278" t="inlineStr"/>
      <c r="RIE78" s="278" t="inlineStr"/>
      <c r="RIF78" s="278" t="inlineStr"/>
      <c r="RIG78" s="278" t="inlineStr"/>
      <c r="RIH78" s="278" t="inlineStr"/>
      <c r="RII78" s="278" t="inlineStr"/>
      <c r="RIJ78" s="278" t="inlineStr"/>
      <c r="RIK78" s="278" t="inlineStr"/>
      <c r="RIL78" s="278" t="inlineStr"/>
      <c r="RIM78" s="278" t="inlineStr"/>
      <c r="RIN78" s="278" t="inlineStr"/>
      <c r="RIO78" s="278" t="inlineStr"/>
      <c r="RIP78" s="278" t="inlineStr"/>
      <c r="RIQ78" s="278" t="inlineStr"/>
      <c r="RIR78" s="278" t="inlineStr"/>
      <c r="RIS78" s="278" t="inlineStr"/>
      <c r="RIT78" s="278" t="inlineStr"/>
      <c r="RIU78" s="278" t="inlineStr"/>
      <c r="RIV78" s="278" t="inlineStr"/>
      <c r="RIW78" s="278" t="inlineStr"/>
      <c r="RIX78" s="278" t="inlineStr"/>
      <c r="RIY78" s="278" t="inlineStr"/>
      <c r="RIZ78" s="278" t="inlineStr"/>
      <c r="RJA78" s="278" t="inlineStr"/>
      <c r="RJB78" s="278" t="inlineStr"/>
      <c r="RJC78" s="278" t="inlineStr"/>
      <c r="RJD78" s="278" t="inlineStr"/>
      <c r="RJE78" s="278" t="inlineStr"/>
      <c r="RJF78" s="278" t="inlineStr"/>
      <c r="RJG78" s="278" t="inlineStr"/>
      <c r="RJH78" s="278" t="inlineStr"/>
      <c r="RJI78" s="278" t="inlineStr"/>
      <c r="RJJ78" s="278" t="inlineStr"/>
      <c r="RJK78" s="278" t="inlineStr"/>
      <c r="RJL78" s="278" t="inlineStr"/>
      <c r="RJM78" s="278" t="inlineStr"/>
      <c r="RJN78" s="278" t="inlineStr"/>
      <c r="RJO78" s="278" t="inlineStr"/>
      <c r="RJP78" s="278" t="inlineStr"/>
      <c r="RJQ78" s="278" t="inlineStr"/>
      <c r="RJR78" s="278" t="inlineStr"/>
      <c r="RJS78" s="278" t="inlineStr"/>
      <c r="RJT78" s="278" t="inlineStr"/>
      <c r="RJU78" s="278" t="inlineStr"/>
      <c r="RJV78" s="278" t="inlineStr"/>
      <c r="RJW78" s="278" t="inlineStr"/>
      <c r="RJX78" s="278" t="inlineStr"/>
      <c r="RJY78" s="278" t="inlineStr"/>
      <c r="RJZ78" s="278" t="inlineStr"/>
      <c r="RKA78" s="278" t="inlineStr"/>
      <c r="RKB78" s="278" t="inlineStr"/>
      <c r="RKC78" s="278" t="inlineStr"/>
      <c r="RKD78" s="278" t="inlineStr"/>
      <c r="RKE78" s="278" t="inlineStr"/>
      <c r="RKF78" s="278" t="inlineStr"/>
      <c r="RKG78" s="278" t="inlineStr"/>
      <c r="RKH78" s="278" t="inlineStr"/>
      <c r="RKI78" s="278" t="inlineStr"/>
      <c r="RKJ78" s="278" t="inlineStr"/>
      <c r="RKK78" s="278" t="inlineStr"/>
      <c r="RKL78" s="278" t="inlineStr"/>
      <c r="RKM78" s="278" t="inlineStr"/>
      <c r="RKN78" s="278" t="inlineStr"/>
      <c r="RKO78" s="278" t="inlineStr"/>
      <c r="RKP78" s="278" t="inlineStr"/>
      <c r="RKQ78" s="278" t="inlineStr"/>
      <c r="RKR78" s="278" t="inlineStr"/>
      <c r="RKS78" s="278" t="inlineStr"/>
      <c r="RKT78" s="278" t="inlineStr"/>
      <c r="RKU78" s="278" t="inlineStr"/>
      <c r="RKV78" s="278" t="inlineStr"/>
      <c r="RKW78" s="278" t="inlineStr"/>
      <c r="RKX78" s="278" t="inlineStr"/>
      <c r="RKY78" s="278" t="inlineStr"/>
      <c r="RKZ78" s="278" t="inlineStr"/>
      <c r="RLA78" s="278" t="inlineStr"/>
      <c r="RLB78" s="278" t="inlineStr"/>
      <c r="RLC78" s="278" t="inlineStr"/>
      <c r="RLD78" s="278" t="inlineStr"/>
      <c r="RLE78" s="278" t="inlineStr"/>
      <c r="RLF78" s="278" t="inlineStr"/>
      <c r="RLG78" s="278" t="inlineStr"/>
      <c r="RLH78" s="278" t="inlineStr"/>
      <c r="RLI78" s="278" t="inlineStr"/>
      <c r="RLJ78" s="278" t="inlineStr"/>
      <c r="RLK78" s="278" t="inlineStr"/>
      <c r="RLL78" s="278" t="inlineStr"/>
      <c r="RLM78" s="278" t="inlineStr"/>
      <c r="RLN78" s="278" t="inlineStr"/>
      <c r="RLO78" s="278" t="inlineStr"/>
      <c r="RLP78" s="278" t="inlineStr"/>
      <c r="RLQ78" s="278" t="inlineStr"/>
      <c r="RLR78" s="278" t="inlineStr"/>
      <c r="RLS78" s="278" t="inlineStr"/>
      <c r="RLT78" s="278" t="inlineStr"/>
      <c r="RLU78" s="278" t="inlineStr"/>
      <c r="RLV78" s="278" t="inlineStr"/>
      <c r="RLW78" s="278" t="inlineStr"/>
      <c r="RLX78" s="278" t="inlineStr"/>
      <c r="RLY78" s="278" t="inlineStr"/>
      <c r="RLZ78" s="278" t="inlineStr"/>
      <c r="RMA78" s="278" t="inlineStr"/>
      <c r="RMB78" s="278" t="inlineStr"/>
      <c r="RMC78" s="278" t="inlineStr"/>
      <c r="RMD78" s="278" t="inlineStr"/>
      <c r="RME78" s="278" t="inlineStr"/>
      <c r="RMF78" s="278" t="inlineStr"/>
      <c r="RMG78" s="278" t="inlineStr"/>
      <c r="RMH78" s="278" t="inlineStr"/>
      <c r="RMI78" s="278" t="inlineStr"/>
      <c r="RMJ78" s="278" t="inlineStr"/>
      <c r="RMK78" s="278" t="inlineStr"/>
      <c r="RML78" s="278" t="inlineStr"/>
      <c r="RMM78" s="278" t="inlineStr"/>
      <c r="RMN78" s="278" t="inlineStr"/>
      <c r="RMO78" s="278" t="inlineStr"/>
      <c r="RMP78" s="278" t="inlineStr"/>
      <c r="RMQ78" s="278" t="inlineStr"/>
      <c r="RMR78" s="278" t="inlineStr"/>
      <c r="RMS78" s="278" t="inlineStr"/>
      <c r="RMT78" s="278" t="inlineStr"/>
      <c r="RMU78" s="278" t="inlineStr"/>
      <c r="RMV78" s="278" t="inlineStr"/>
      <c r="RMW78" s="278" t="inlineStr"/>
      <c r="RMX78" s="278" t="inlineStr"/>
      <c r="RMY78" s="278" t="inlineStr"/>
      <c r="RMZ78" s="278" t="inlineStr"/>
      <c r="RNA78" s="278" t="inlineStr"/>
      <c r="RNB78" s="278" t="inlineStr"/>
      <c r="RNC78" s="278" t="inlineStr"/>
      <c r="RND78" s="278" t="inlineStr"/>
      <c r="RNE78" s="278" t="inlineStr"/>
      <c r="RNF78" s="278" t="inlineStr"/>
      <c r="RNG78" s="278" t="inlineStr"/>
      <c r="RNH78" s="278" t="inlineStr"/>
      <c r="RNI78" s="278" t="inlineStr"/>
      <c r="RNJ78" s="278" t="inlineStr"/>
      <c r="RNK78" s="278" t="inlineStr"/>
      <c r="RNL78" s="278" t="inlineStr"/>
      <c r="RNM78" s="278" t="inlineStr"/>
      <c r="RNN78" s="278" t="inlineStr"/>
      <c r="RNO78" s="278" t="inlineStr"/>
      <c r="RNP78" s="278" t="inlineStr"/>
      <c r="RNQ78" s="278" t="inlineStr"/>
      <c r="RNR78" s="278" t="inlineStr"/>
      <c r="RNS78" s="278" t="inlineStr"/>
      <c r="RNT78" s="278" t="inlineStr"/>
      <c r="RNU78" s="278" t="inlineStr"/>
      <c r="RNV78" s="278" t="inlineStr"/>
      <c r="RNW78" s="278" t="inlineStr"/>
      <c r="RNX78" s="278" t="inlineStr"/>
      <c r="RNY78" s="278" t="inlineStr"/>
      <c r="RNZ78" s="278" t="inlineStr"/>
      <c r="ROA78" s="278" t="inlineStr"/>
      <c r="ROB78" s="278" t="inlineStr"/>
      <c r="ROC78" s="278" t="inlineStr"/>
      <c r="ROD78" s="278" t="inlineStr"/>
      <c r="ROE78" s="278" t="inlineStr"/>
      <c r="ROF78" s="278" t="inlineStr"/>
      <c r="ROG78" s="278" t="inlineStr"/>
      <c r="ROH78" s="278" t="inlineStr"/>
      <c r="ROI78" s="278" t="inlineStr"/>
      <c r="ROJ78" s="278" t="inlineStr"/>
      <c r="ROK78" s="278" t="inlineStr"/>
      <c r="ROL78" s="278" t="inlineStr"/>
      <c r="ROM78" s="278" t="inlineStr"/>
      <c r="RON78" s="278" t="inlineStr"/>
      <c r="ROO78" s="278" t="inlineStr"/>
      <c r="ROP78" s="278" t="inlineStr"/>
      <c r="ROQ78" s="278" t="inlineStr"/>
      <c r="ROR78" s="278" t="inlineStr"/>
      <c r="ROS78" s="278" t="inlineStr"/>
      <c r="ROT78" s="278" t="inlineStr"/>
      <c r="ROU78" s="278" t="inlineStr"/>
      <c r="ROV78" s="278" t="inlineStr"/>
      <c r="ROW78" s="278" t="inlineStr"/>
      <c r="ROX78" s="278" t="inlineStr"/>
      <c r="ROY78" s="278" t="inlineStr"/>
      <c r="ROZ78" s="278" t="inlineStr"/>
      <c r="RPA78" s="278" t="inlineStr"/>
      <c r="RPB78" s="278" t="inlineStr"/>
      <c r="RPC78" s="278" t="inlineStr"/>
      <c r="RPD78" s="278" t="inlineStr"/>
      <c r="RPE78" s="278" t="inlineStr"/>
      <c r="RPF78" s="278" t="inlineStr"/>
      <c r="RPG78" s="278" t="inlineStr"/>
      <c r="RPH78" s="278" t="inlineStr"/>
      <c r="RPI78" s="278" t="inlineStr"/>
      <c r="RPJ78" s="278" t="inlineStr"/>
      <c r="RPK78" s="278" t="inlineStr"/>
      <c r="RPL78" s="278" t="inlineStr"/>
      <c r="RPM78" s="278" t="inlineStr"/>
      <c r="RPN78" s="278" t="inlineStr"/>
      <c r="RPO78" s="278" t="inlineStr"/>
      <c r="RPP78" s="278" t="inlineStr"/>
      <c r="RPQ78" s="278" t="inlineStr"/>
      <c r="RPR78" s="278" t="inlineStr"/>
      <c r="RPS78" s="278" t="inlineStr"/>
      <c r="RPT78" s="278" t="inlineStr"/>
      <c r="RPU78" s="278" t="inlineStr"/>
      <c r="RPV78" s="278" t="inlineStr"/>
      <c r="RPW78" s="278" t="inlineStr"/>
      <c r="RPX78" s="278" t="inlineStr"/>
      <c r="RPY78" s="278" t="inlineStr"/>
      <c r="RPZ78" s="278" t="inlineStr"/>
      <c r="RQA78" s="278" t="inlineStr"/>
      <c r="RQB78" s="278" t="inlineStr"/>
      <c r="RQC78" s="278" t="inlineStr"/>
      <c r="RQD78" s="278" t="inlineStr"/>
      <c r="RQE78" s="278" t="inlineStr"/>
      <c r="RQF78" s="278" t="inlineStr"/>
      <c r="RQG78" s="278" t="inlineStr"/>
      <c r="RQH78" s="278" t="inlineStr"/>
      <c r="RQI78" s="278" t="inlineStr"/>
      <c r="RQJ78" s="278" t="inlineStr"/>
      <c r="RQK78" s="278" t="inlineStr"/>
      <c r="RQL78" s="278" t="inlineStr"/>
      <c r="RQM78" s="278" t="inlineStr"/>
      <c r="RQN78" s="278" t="inlineStr"/>
      <c r="RQO78" s="278" t="inlineStr"/>
      <c r="RQP78" s="278" t="inlineStr"/>
      <c r="RQQ78" s="278" t="inlineStr"/>
      <c r="RQR78" s="278" t="inlineStr"/>
      <c r="RQS78" s="278" t="inlineStr"/>
      <c r="RQT78" s="278" t="inlineStr"/>
      <c r="RQU78" s="278" t="inlineStr"/>
      <c r="RQV78" s="278" t="inlineStr"/>
      <c r="RQW78" s="278" t="inlineStr"/>
      <c r="RQX78" s="278" t="inlineStr"/>
      <c r="RQY78" s="278" t="inlineStr"/>
      <c r="RQZ78" s="278" t="inlineStr"/>
      <c r="RRA78" s="278" t="inlineStr"/>
      <c r="RRB78" s="278" t="inlineStr"/>
      <c r="RRC78" s="278" t="inlineStr"/>
      <c r="RRD78" s="278" t="inlineStr"/>
      <c r="RRE78" s="278" t="inlineStr"/>
      <c r="RRF78" s="278" t="inlineStr"/>
      <c r="RRG78" s="278" t="inlineStr"/>
      <c r="RRH78" s="278" t="inlineStr"/>
      <c r="RRI78" s="278" t="inlineStr"/>
      <c r="RRJ78" s="278" t="inlineStr"/>
      <c r="RRK78" s="278" t="inlineStr"/>
      <c r="RRL78" s="278" t="inlineStr"/>
      <c r="RRM78" s="278" t="inlineStr"/>
      <c r="RRN78" s="278" t="inlineStr"/>
      <c r="RRO78" s="278" t="inlineStr"/>
      <c r="RRP78" s="278" t="inlineStr"/>
      <c r="RRQ78" s="278" t="inlineStr"/>
      <c r="RRR78" s="278" t="inlineStr"/>
      <c r="RRS78" s="278" t="inlineStr"/>
      <c r="RRT78" s="278" t="inlineStr"/>
      <c r="RRU78" s="278" t="inlineStr"/>
      <c r="RRV78" s="278" t="inlineStr"/>
      <c r="RRW78" s="278" t="inlineStr"/>
      <c r="RRX78" s="278" t="inlineStr"/>
      <c r="RRY78" s="278" t="inlineStr"/>
      <c r="RRZ78" s="278" t="inlineStr"/>
      <c r="RSA78" s="278" t="inlineStr"/>
      <c r="RSB78" s="278" t="inlineStr"/>
      <c r="RSC78" s="278" t="inlineStr"/>
      <c r="RSD78" s="278" t="inlineStr"/>
      <c r="RSE78" s="278" t="inlineStr"/>
      <c r="RSF78" s="278" t="inlineStr"/>
      <c r="RSG78" s="278" t="inlineStr"/>
      <c r="RSH78" s="278" t="inlineStr"/>
      <c r="RSI78" s="278" t="inlineStr"/>
      <c r="RSJ78" s="278" t="inlineStr"/>
      <c r="RSK78" s="278" t="inlineStr"/>
      <c r="RSL78" s="278" t="inlineStr"/>
      <c r="RSM78" s="278" t="inlineStr"/>
      <c r="RSN78" s="278" t="inlineStr"/>
      <c r="RSO78" s="278" t="inlineStr"/>
      <c r="RSP78" s="278" t="inlineStr"/>
      <c r="RSQ78" s="278" t="inlineStr"/>
      <c r="RSR78" s="278" t="inlineStr"/>
      <c r="RSS78" s="278" t="inlineStr"/>
      <c r="RST78" s="278" t="inlineStr"/>
      <c r="RSU78" s="278" t="inlineStr"/>
      <c r="RSV78" s="278" t="inlineStr"/>
      <c r="RSW78" s="278" t="inlineStr"/>
      <c r="RSX78" s="278" t="inlineStr"/>
      <c r="RSY78" s="278" t="inlineStr"/>
      <c r="RSZ78" s="278" t="inlineStr"/>
      <c r="RTA78" s="278" t="inlineStr"/>
      <c r="RTB78" s="278" t="inlineStr"/>
      <c r="RTC78" s="278" t="inlineStr"/>
      <c r="RTD78" s="278" t="inlineStr"/>
      <c r="RTE78" s="278" t="inlineStr"/>
      <c r="RTF78" s="278" t="inlineStr"/>
      <c r="RTG78" s="278" t="inlineStr"/>
      <c r="RTH78" s="278" t="inlineStr"/>
      <c r="RTI78" s="278" t="inlineStr"/>
      <c r="RTJ78" s="278" t="inlineStr"/>
      <c r="RTK78" s="278" t="inlineStr"/>
      <c r="RTL78" s="278" t="inlineStr"/>
      <c r="RTM78" s="278" t="inlineStr"/>
      <c r="RTN78" s="278" t="inlineStr"/>
      <c r="RTO78" s="278" t="inlineStr"/>
      <c r="RTP78" s="278" t="inlineStr"/>
      <c r="RTQ78" s="278" t="inlineStr"/>
      <c r="RTR78" s="278" t="inlineStr"/>
      <c r="RTS78" s="278" t="inlineStr"/>
      <c r="RTT78" s="278" t="inlineStr"/>
      <c r="RTU78" s="278" t="inlineStr"/>
      <c r="RTV78" s="278" t="inlineStr"/>
      <c r="RTW78" s="278" t="inlineStr"/>
      <c r="RTX78" s="278" t="inlineStr"/>
      <c r="RTY78" s="278" t="inlineStr"/>
      <c r="RTZ78" s="278" t="inlineStr"/>
      <c r="RUA78" s="278" t="inlineStr"/>
      <c r="RUB78" s="278" t="inlineStr"/>
      <c r="RUC78" s="278" t="inlineStr"/>
      <c r="RUD78" s="278" t="inlineStr"/>
      <c r="RUE78" s="278" t="inlineStr"/>
      <c r="RUF78" s="278" t="inlineStr"/>
      <c r="RUG78" s="278" t="inlineStr"/>
      <c r="RUH78" s="278" t="inlineStr"/>
      <c r="RUI78" s="278" t="inlineStr"/>
      <c r="RUJ78" s="278" t="inlineStr"/>
      <c r="RUK78" s="278" t="inlineStr"/>
      <c r="RUL78" s="278" t="inlineStr"/>
      <c r="RUM78" s="278" t="inlineStr"/>
      <c r="RUN78" s="278" t="inlineStr"/>
      <c r="RUO78" s="278" t="inlineStr"/>
      <c r="RUP78" s="278" t="inlineStr"/>
      <c r="RUQ78" s="278" t="inlineStr"/>
      <c r="RUR78" s="278" t="inlineStr"/>
      <c r="RUS78" s="278" t="inlineStr"/>
      <c r="RUT78" s="278" t="inlineStr"/>
      <c r="RUU78" s="278" t="inlineStr"/>
      <c r="RUV78" s="278" t="inlineStr"/>
      <c r="RUW78" s="278" t="inlineStr"/>
      <c r="RUX78" s="278" t="inlineStr"/>
      <c r="RUY78" s="278" t="inlineStr"/>
      <c r="RUZ78" s="278" t="inlineStr"/>
      <c r="RVA78" s="278" t="inlineStr"/>
      <c r="RVB78" s="278" t="inlineStr"/>
      <c r="RVC78" s="278" t="inlineStr"/>
      <c r="RVD78" s="278" t="inlineStr"/>
      <c r="RVE78" s="278" t="inlineStr"/>
      <c r="RVF78" s="278" t="inlineStr"/>
      <c r="RVG78" s="278" t="inlineStr"/>
      <c r="RVH78" s="278" t="inlineStr"/>
      <c r="RVI78" s="278" t="inlineStr"/>
      <c r="RVJ78" s="278" t="inlineStr"/>
      <c r="RVK78" s="278" t="inlineStr"/>
      <c r="RVL78" s="278" t="inlineStr"/>
      <c r="RVM78" s="278" t="inlineStr"/>
      <c r="RVN78" s="278" t="inlineStr"/>
      <c r="RVO78" s="278" t="inlineStr"/>
      <c r="RVP78" s="278" t="inlineStr"/>
      <c r="RVQ78" s="278" t="inlineStr"/>
      <c r="RVR78" s="278" t="inlineStr"/>
      <c r="RVS78" s="278" t="inlineStr"/>
      <c r="RVT78" s="278" t="inlineStr"/>
      <c r="RVU78" s="278" t="inlineStr"/>
      <c r="RVV78" s="278" t="inlineStr"/>
      <c r="RVW78" s="278" t="inlineStr"/>
      <c r="RVX78" s="278" t="inlineStr"/>
      <c r="RVY78" s="278" t="inlineStr"/>
      <c r="RVZ78" s="278" t="inlineStr"/>
      <c r="RWA78" s="278" t="inlineStr"/>
      <c r="RWB78" s="278" t="inlineStr"/>
      <c r="RWC78" s="278" t="inlineStr"/>
      <c r="RWD78" s="278" t="inlineStr"/>
      <c r="RWE78" s="278" t="inlineStr"/>
      <c r="RWF78" s="278" t="inlineStr"/>
      <c r="RWG78" s="278" t="inlineStr"/>
      <c r="RWH78" s="278" t="inlineStr"/>
      <c r="RWI78" s="278" t="inlineStr"/>
      <c r="RWJ78" s="278" t="inlineStr"/>
      <c r="RWK78" s="278" t="inlineStr"/>
      <c r="RWL78" s="278" t="inlineStr"/>
      <c r="RWM78" s="278" t="inlineStr"/>
      <c r="RWN78" s="278" t="inlineStr"/>
      <c r="RWO78" s="278" t="inlineStr"/>
      <c r="RWP78" s="278" t="inlineStr"/>
      <c r="RWQ78" s="278" t="inlineStr"/>
      <c r="RWR78" s="278" t="inlineStr"/>
      <c r="RWS78" s="278" t="inlineStr"/>
      <c r="RWT78" s="278" t="inlineStr"/>
      <c r="RWU78" s="278" t="inlineStr"/>
      <c r="RWV78" s="278" t="inlineStr"/>
      <c r="RWW78" s="278" t="inlineStr"/>
      <c r="RWX78" s="278" t="inlineStr"/>
      <c r="RWY78" s="278" t="inlineStr"/>
      <c r="RWZ78" s="278" t="inlineStr"/>
      <c r="RXA78" s="278" t="inlineStr"/>
      <c r="RXB78" s="278" t="inlineStr"/>
      <c r="RXC78" s="278" t="inlineStr"/>
      <c r="RXD78" s="278" t="inlineStr"/>
      <c r="RXE78" s="278" t="inlineStr"/>
      <c r="RXF78" s="278" t="inlineStr"/>
      <c r="RXG78" s="278" t="inlineStr"/>
      <c r="RXH78" s="278" t="inlineStr"/>
      <c r="RXI78" s="278" t="inlineStr"/>
      <c r="RXJ78" s="278" t="inlineStr"/>
      <c r="RXK78" s="278" t="inlineStr"/>
      <c r="RXL78" s="278" t="inlineStr"/>
      <c r="RXM78" s="278" t="inlineStr"/>
      <c r="RXN78" s="278" t="inlineStr"/>
      <c r="RXO78" s="278" t="inlineStr"/>
      <c r="RXP78" s="278" t="inlineStr"/>
      <c r="RXQ78" s="278" t="inlineStr"/>
      <c r="RXR78" s="278" t="inlineStr"/>
      <c r="RXS78" s="278" t="inlineStr"/>
      <c r="RXT78" s="278" t="inlineStr"/>
      <c r="RXU78" s="278" t="inlineStr"/>
      <c r="RXV78" s="278" t="inlineStr"/>
      <c r="RXW78" s="278" t="inlineStr"/>
      <c r="RXX78" s="278" t="inlineStr"/>
      <c r="RXY78" s="278" t="inlineStr"/>
      <c r="RXZ78" s="278" t="inlineStr"/>
      <c r="RYA78" s="278" t="inlineStr"/>
      <c r="RYB78" s="278" t="inlineStr"/>
      <c r="RYC78" s="278" t="inlineStr"/>
      <c r="RYD78" s="278" t="inlineStr"/>
      <c r="RYE78" s="278" t="inlineStr"/>
      <c r="RYF78" s="278" t="inlineStr"/>
      <c r="RYG78" s="278" t="inlineStr"/>
      <c r="RYH78" s="278" t="inlineStr"/>
      <c r="RYI78" s="278" t="inlineStr"/>
      <c r="RYJ78" s="278" t="inlineStr"/>
      <c r="RYK78" s="278" t="inlineStr"/>
      <c r="RYL78" s="278" t="inlineStr"/>
      <c r="RYM78" s="278" t="inlineStr"/>
      <c r="RYN78" s="278" t="inlineStr"/>
      <c r="RYO78" s="278" t="inlineStr"/>
      <c r="RYP78" s="278" t="inlineStr"/>
      <c r="RYQ78" s="278" t="inlineStr"/>
      <c r="RYR78" s="278" t="inlineStr"/>
      <c r="RYS78" s="278" t="inlineStr"/>
      <c r="RYT78" s="278" t="inlineStr"/>
      <c r="RYU78" s="278" t="inlineStr"/>
      <c r="RYV78" s="278" t="inlineStr"/>
      <c r="RYW78" s="278" t="inlineStr"/>
      <c r="RYX78" s="278" t="inlineStr"/>
      <c r="RYY78" s="278" t="inlineStr"/>
      <c r="RYZ78" s="278" t="inlineStr"/>
      <c r="RZA78" s="278" t="inlineStr"/>
      <c r="RZB78" s="278" t="inlineStr"/>
      <c r="RZC78" s="278" t="inlineStr"/>
      <c r="RZD78" s="278" t="inlineStr"/>
      <c r="RZE78" s="278" t="inlineStr"/>
      <c r="RZF78" s="278" t="inlineStr"/>
      <c r="RZG78" s="278" t="inlineStr"/>
      <c r="RZH78" s="278" t="inlineStr"/>
      <c r="RZI78" s="278" t="inlineStr"/>
      <c r="RZJ78" s="278" t="inlineStr"/>
      <c r="RZK78" s="278" t="inlineStr"/>
      <c r="RZL78" s="278" t="inlineStr"/>
      <c r="RZM78" s="278" t="inlineStr"/>
      <c r="RZN78" s="278" t="inlineStr"/>
      <c r="RZO78" s="278" t="inlineStr"/>
      <c r="RZP78" s="278" t="inlineStr"/>
      <c r="RZQ78" s="278" t="inlineStr"/>
      <c r="RZR78" s="278" t="inlineStr"/>
      <c r="RZS78" s="278" t="inlineStr"/>
      <c r="RZT78" s="278" t="inlineStr"/>
      <c r="RZU78" s="278" t="inlineStr"/>
      <c r="RZV78" s="278" t="inlineStr"/>
      <c r="RZW78" s="278" t="inlineStr"/>
      <c r="RZX78" s="278" t="inlineStr"/>
      <c r="RZY78" s="278" t="inlineStr"/>
      <c r="RZZ78" s="278" t="inlineStr"/>
      <c r="SAA78" s="278" t="inlineStr"/>
      <c r="SAB78" s="278" t="inlineStr"/>
      <c r="SAC78" s="278" t="inlineStr"/>
      <c r="SAD78" s="278" t="inlineStr"/>
      <c r="SAE78" s="278" t="inlineStr"/>
      <c r="SAF78" s="278" t="inlineStr"/>
      <c r="SAG78" s="278" t="inlineStr"/>
      <c r="SAH78" s="278" t="inlineStr"/>
      <c r="SAI78" s="278" t="inlineStr"/>
      <c r="SAJ78" s="278" t="inlineStr"/>
      <c r="SAK78" s="278" t="inlineStr"/>
      <c r="SAL78" s="278" t="inlineStr"/>
      <c r="SAM78" s="278" t="inlineStr"/>
      <c r="SAN78" s="278" t="inlineStr"/>
      <c r="SAO78" s="278" t="inlineStr"/>
      <c r="SAP78" s="278" t="inlineStr"/>
      <c r="SAQ78" s="278" t="inlineStr"/>
      <c r="SAR78" s="278" t="inlineStr"/>
      <c r="SAS78" s="278" t="inlineStr"/>
      <c r="SAT78" s="278" t="inlineStr"/>
      <c r="SAU78" s="278" t="inlineStr"/>
      <c r="SAV78" s="278" t="inlineStr"/>
      <c r="SAW78" s="278" t="inlineStr"/>
      <c r="SAX78" s="278" t="inlineStr"/>
      <c r="SAY78" s="278" t="inlineStr"/>
      <c r="SAZ78" s="278" t="inlineStr"/>
      <c r="SBA78" s="278" t="inlineStr"/>
      <c r="SBB78" s="278" t="inlineStr"/>
      <c r="SBC78" s="278" t="inlineStr"/>
      <c r="SBD78" s="278" t="inlineStr"/>
      <c r="SBE78" s="278" t="inlineStr"/>
      <c r="SBF78" s="278" t="inlineStr"/>
      <c r="SBG78" s="278" t="inlineStr"/>
      <c r="SBH78" s="278" t="inlineStr"/>
      <c r="SBI78" s="278" t="inlineStr"/>
      <c r="SBJ78" s="278" t="inlineStr"/>
      <c r="SBK78" s="278" t="inlineStr"/>
      <c r="SBL78" s="278" t="inlineStr"/>
      <c r="SBM78" s="278" t="inlineStr"/>
      <c r="SBN78" s="278" t="inlineStr"/>
      <c r="SBO78" s="278" t="inlineStr"/>
      <c r="SBP78" s="278" t="inlineStr"/>
      <c r="SBQ78" s="278" t="inlineStr"/>
      <c r="SBR78" s="278" t="inlineStr"/>
      <c r="SBS78" s="278" t="inlineStr"/>
      <c r="SBT78" s="278" t="inlineStr"/>
      <c r="SBU78" s="278" t="inlineStr"/>
      <c r="SBV78" s="278" t="inlineStr"/>
      <c r="SBW78" s="278" t="inlineStr"/>
      <c r="SBX78" s="278" t="inlineStr"/>
      <c r="SBY78" s="278" t="inlineStr"/>
      <c r="SBZ78" s="278" t="inlineStr"/>
      <c r="SCA78" s="278" t="inlineStr"/>
      <c r="SCB78" s="278" t="inlineStr"/>
      <c r="SCC78" s="278" t="inlineStr"/>
      <c r="SCD78" s="278" t="inlineStr"/>
      <c r="SCE78" s="278" t="inlineStr"/>
      <c r="SCF78" s="278" t="inlineStr"/>
      <c r="SCG78" s="278" t="inlineStr"/>
      <c r="SCH78" s="278" t="inlineStr"/>
      <c r="SCI78" s="278" t="inlineStr"/>
      <c r="SCJ78" s="278" t="inlineStr"/>
      <c r="SCK78" s="278" t="inlineStr"/>
      <c r="SCL78" s="278" t="inlineStr"/>
      <c r="SCM78" s="278" t="inlineStr"/>
      <c r="SCN78" s="278" t="inlineStr"/>
      <c r="SCO78" s="278" t="inlineStr"/>
      <c r="SCP78" s="278" t="inlineStr"/>
      <c r="SCQ78" s="278" t="inlineStr"/>
      <c r="SCR78" s="278" t="inlineStr"/>
      <c r="SCS78" s="278" t="inlineStr"/>
      <c r="SCT78" s="278" t="inlineStr"/>
      <c r="SCU78" s="278" t="inlineStr"/>
      <c r="SCV78" s="278" t="inlineStr"/>
      <c r="SCW78" s="278" t="inlineStr"/>
      <c r="SCX78" s="278" t="inlineStr"/>
      <c r="SCY78" s="278" t="inlineStr"/>
      <c r="SCZ78" s="278" t="inlineStr"/>
      <c r="SDA78" s="278" t="inlineStr"/>
      <c r="SDB78" s="278" t="inlineStr"/>
      <c r="SDC78" s="278" t="inlineStr"/>
      <c r="SDD78" s="278" t="inlineStr"/>
      <c r="SDE78" s="278" t="inlineStr"/>
      <c r="SDF78" s="278" t="inlineStr"/>
      <c r="SDG78" s="278" t="inlineStr"/>
      <c r="SDH78" s="278" t="inlineStr"/>
      <c r="SDI78" s="278" t="inlineStr"/>
      <c r="SDJ78" s="278" t="inlineStr"/>
      <c r="SDK78" s="278" t="inlineStr"/>
      <c r="SDL78" s="278" t="inlineStr"/>
      <c r="SDM78" s="278" t="inlineStr"/>
      <c r="SDN78" s="278" t="inlineStr"/>
      <c r="SDO78" s="278" t="inlineStr"/>
      <c r="SDP78" s="278" t="inlineStr"/>
      <c r="SDQ78" s="278" t="inlineStr"/>
      <c r="SDR78" s="278" t="inlineStr"/>
      <c r="SDS78" s="278" t="inlineStr"/>
      <c r="SDT78" s="278" t="inlineStr"/>
      <c r="SDU78" s="278" t="inlineStr"/>
      <c r="SDV78" s="278" t="inlineStr"/>
      <c r="SDW78" s="278" t="inlineStr"/>
      <c r="SDX78" s="278" t="inlineStr"/>
      <c r="SDY78" s="278" t="inlineStr"/>
      <c r="SDZ78" s="278" t="inlineStr"/>
      <c r="SEA78" s="278" t="inlineStr"/>
      <c r="SEB78" s="278" t="inlineStr"/>
      <c r="SEC78" s="278" t="inlineStr"/>
      <c r="SED78" s="278" t="inlineStr"/>
      <c r="SEE78" s="278" t="inlineStr"/>
      <c r="SEF78" s="278" t="inlineStr"/>
      <c r="SEG78" s="278" t="inlineStr"/>
      <c r="SEH78" s="278" t="inlineStr"/>
      <c r="SEI78" s="278" t="inlineStr"/>
      <c r="SEJ78" s="278" t="inlineStr"/>
      <c r="SEK78" s="278" t="inlineStr"/>
      <c r="SEL78" s="278" t="inlineStr"/>
      <c r="SEM78" s="278" t="inlineStr"/>
      <c r="SEN78" s="278" t="inlineStr"/>
      <c r="SEO78" s="278" t="inlineStr"/>
      <c r="SEP78" s="278" t="inlineStr"/>
      <c r="SEQ78" s="278" t="inlineStr"/>
      <c r="SER78" s="278" t="inlineStr"/>
      <c r="SES78" s="278" t="inlineStr"/>
      <c r="SET78" s="278" t="inlineStr"/>
      <c r="SEU78" s="278" t="inlineStr"/>
      <c r="SEV78" s="278" t="inlineStr"/>
      <c r="SEW78" s="278" t="inlineStr"/>
      <c r="SEX78" s="278" t="inlineStr"/>
      <c r="SEY78" s="278" t="inlineStr"/>
      <c r="SEZ78" s="278" t="inlineStr"/>
      <c r="SFA78" s="278" t="inlineStr"/>
      <c r="SFB78" s="278" t="inlineStr"/>
      <c r="SFC78" s="278" t="inlineStr"/>
      <c r="SFD78" s="278" t="inlineStr"/>
      <c r="SFE78" s="278" t="inlineStr"/>
      <c r="SFF78" s="278" t="inlineStr"/>
      <c r="SFG78" s="278" t="inlineStr"/>
      <c r="SFH78" s="278" t="inlineStr"/>
      <c r="SFI78" s="278" t="inlineStr"/>
      <c r="SFJ78" s="278" t="inlineStr"/>
      <c r="SFK78" s="278" t="inlineStr"/>
      <c r="SFL78" s="278" t="inlineStr"/>
      <c r="SFM78" s="278" t="inlineStr"/>
      <c r="SFN78" s="278" t="inlineStr"/>
      <c r="SFO78" s="278" t="inlineStr"/>
      <c r="SFP78" s="278" t="inlineStr"/>
      <c r="SFQ78" s="278" t="inlineStr"/>
      <c r="SFR78" s="278" t="inlineStr"/>
      <c r="SFS78" s="278" t="inlineStr"/>
      <c r="SFT78" s="278" t="inlineStr"/>
      <c r="SFU78" s="278" t="inlineStr"/>
      <c r="SFV78" s="278" t="inlineStr"/>
      <c r="SFW78" s="278" t="inlineStr"/>
      <c r="SFX78" s="278" t="inlineStr"/>
      <c r="SFY78" s="278" t="inlineStr"/>
      <c r="SFZ78" s="278" t="inlineStr"/>
      <c r="SGA78" s="278" t="inlineStr"/>
      <c r="SGB78" s="278" t="inlineStr"/>
      <c r="SGC78" s="278" t="inlineStr"/>
      <c r="SGD78" s="278" t="inlineStr"/>
      <c r="SGE78" s="278" t="inlineStr"/>
      <c r="SGF78" s="278" t="inlineStr"/>
      <c r="SGG78" s="278" t="inlineStr"/>
      <c r="SGH78" s="278" t="inlineStr"/>
      <c r="SGI78" s="278" t="inlineStr"/>
      <c r="SGJ78" s="278" t="inlineStr"/>
      <c r="SGK78" s="278" t="inlineStr"/>
      <c r="SGL78" s="278" t="inlineStr"/>
      <c r="SGM78" s="278" t="inlineStr"/>
      <c r="SGN78" s="278" t="inlineStr"/>
      <c r="SGO78" s="278" t="inlineStr"/>
      <c r="SGP78" s="278" t="inlineStr"/>
      <c r="SGQ78" s="278" t="inlineStr"/>
      <c r="SGR78" s="278" t="inlineStr"/>
      <c r="SGS78" s="278" t="inlineStr"/>
      <c r="SGT78" s="278" t="inlineStr"/>
      <c r="SGU78" s="278" t="inlineStr"/>
      <c r="SGV78" s="278" t="inlineStr"/>
      <c r="SGW78" s="278" t="inlineStr"/>
      <c r="SGX78" s="278" t="inlineStr"/>
      <c r="SGY78" s="278" t="inlineStr"/>
      <c r="SGZ78" s="278" t="inlineStr"/>
      <c r="SHA78" s="278" t="inlineStr"/>
      <c r="SHB78" s="278" t="inlineStr"/>
      <c r="SHC78" s="278" t="inlineStr"/>
      <c r="SHD78" s="278" t="inlineStr"/>
      <c r="SHE78" s="278" t="inlineStr"/>
      <c r="SHF78" s="278" t="inlineStr"/>
      <c r="SHG78" s="278" t="inlineStr"/>
      <c r="SHH78" s="278" t="inlineStr"/>
      <c r="SHI78" s="278" t="inlineStr"/>
      <c r="SHJ78" s="278" t="inlineStr"/>
      <c r="SHK78" s="278" t="inlineStr"/>
      <c r="SHL78" s="278" t="inlineStr"/>
      <c r="SHM78" s="278" t="inlineStr"/>
      <c r="SHN78" s="278" t="inlineStr"/>
      <c r="SHO78" s="278" t="inlineStr"/>
      <c r="SHP78" s="278" t="inlineStr"/>
      <c r="SHQ78" s="278" t="inlineStr"/>
      <c r="SHR78" s="278" t="inlineStr"/>
      <c r="SHS78" s="278" t="inlineStr"/>
      <c r="SHT78" s="278" t="inlineStr"/>
      <c r="SHU78" s="278" t="inlineStr"/>
      <c r="SHV78" s="278" t="inlineStr"/>
      <c r="SHW78" s="278" t="inlineStr"/>
      <c r="SHX78" s="278" t="inlineStr"/>
      <c r="SHY78" s="278" t="inlineStr"/>
      <c r="SHZ78" s="278" t="inlineStr"/>
      <c r="SIA78" s="278" t="inlineStr"/>
      <c r="SIB78" s="278" t="inlineStr"/>
      <c r="SIC78" s="278" t="inlineStr"/>
      <c r="SID78" s="278" t="inlineStr"/>
      <c r="SIE78" s="278" t="inlineStr"/>
      <c r="SIF78" s="278" t="inlineStr"/>
      <c r="SIG78" s="278" t="inlineStr"/>
      <c r="SIH78" s="278" t="inlineStr"/>
      <c r="SII78" s="278" t="inlineStr"/>
      <c r="SIJ78" s="278" t="inlineStr"/>
      <c r="SIK78" s="278" t="inlineStr"/>
      <c r="SIL78" s="278" t="inlineStr"/>
      <c r="SIM78" s="278" t="inlineStr"/>
      <c r="SIN78" s="278" t="inlineStr"/>
      <c r="SIO78" s="278" t="inlineStr"/>
      <c r="SIP78" s="278" t="inlineStr"/>
      <c r="SIQ78" s="278" t="inlineStr"/>
      <c r="SIR78" s="278" t="inlineStr"/>
      <c r="SIS78" s="278" t="inlineStr"/>
      <c r="SIT78" s="278" t="inlineStr"/>
      <c r="SIU78" s="278" t="inlineStr"/>
      <c r="SIV78" s="278" t="inlineStr"/>
      <c r="SIW78" s="278" t="inlineStr"/>
      <c r="SIX78" s="278" t="inlineStr"/>
      <c r="SIY78" s="278" t="inlineStr"/>
      <c r="SIZ78" s="278" t="inlineStr"/>
      <c r="SJA78" s="278" t="inlineStr"/>
      <c r="SJB78" s="278" t="inlineStr"/>
      <c r="SJC78" s="278" t="inlineStr"/>
      <c r="SJD78" s="278" t="inlineStr"/>
      <c r="SJE78" s="278" t="inlineStr"/>
      <c r="SJF78" s="278" t="inlineStr"/>
      <c r="SJG78" s="278" t="inlineStr"/>
      <c r="SJH78" s="278" t="inlineStr"/>
      <c r="SJI78" s="278" t="inlineStr"/>
      <c r="SJJ78" s="278" t="inlineStr"/>
      <c r="SJK78" s="278" t="inlineStr"/>
      <c r="SJL78" s="278" t="inlineStr"/>
      <c r="SJM78" s="278" t="inlineStr"/>
      <c r="SJN78" s="278" t="inlineStr"/>
      <c r="SJO78" s="278" t="inlineStr"/>
      <c r="SJP78" s="278" t="inlineStr"/>
      <c r="SJQ78" s="278" t="inlineStr"/>
      <c r="SJR78" s="278" t="inlineStr"/>
      <c r="SJS78" s="278" t="inlineStr"/>
      <c r="SJT78" s="278" t="inlineStr"/>
      <c r="SJU78" s="278" t="inlineStr"/>
      <c r="SJV78" s="278" t="inlineStr"/>
      <c r="SJW78" s="278" t="inlineStr"/>
      <c r="SJX78" s="278" t="inlineStr"/>
      <c r="SJY78" s="278" t="inlineStr"/>
      <c r="SJZ78" s="278" t="inlineStr"/>
      <c r="SKA78" s="278" t="inlineStr"/>
      <c r="SKB78" s="278" t="inlineStr"/>
      <c r="SKC78" s="278" t="inlineStr"/>
      <c r="SKD78" s="278" t="inlineStr"/>
      <c r="SKE78" s="278" t="inlineStr"/>
      <c r="SKF78" s="278" t="inlineStr"/>
      <c r="SKG78" s="278" t="inlineStr"/>
      <c r="SKH78" s="278" t="inlineStr"/>
      <c r="SKI78" s="278" t="inlineStr"/>
      <c r="SKJ78" s="278" t="inlineStr"/>
      <c r="SKK78" s="278" t="inlineStr"/>
      <c r="SKL78" s="278" t="inlineStr"/>
      <c r="SKM78" s="278" t="inlineStr"/>
      <c r="SKN78" s="278" t="inlineStr"/>
      <c r="SKO78" s="278" t="inlineStr"/>
      <c r="SKP78" s="278" t="inlineStr"/>
      <c r="SKQ78" s="278" t="inlineStr"/>
      <c r="SKR78" s="278" t="inlineStr"/>
      <c r="SKS78" s="278" t="inlineStr"/>
      <c r="SKT78" s="278" t="inlineStr"/>
      <c r="SKU78" s="278" t="inlineStr"/>
      <c r="SKV78" s="278" t="inlineStr"/>
      <c r="SKW78" s="278" t="inlineStr"/>
      <c r="SKX78" s="278" t="inlineStr"/>
      <c r="SKY78" s="278" t="inlineStr"/>
      <c r="SKZ78" s="278" t="inlineStr"/>
      <c r="SLA78" s="278" t="inlineStr"/>
      <c r="SLB78" s="278" t="inlineStr"/>
      <c r="SLC78" s="278" t="inlineStr"/>
      <c r="SLD78" s="278" t="inlineStr"/>
      <c r="SLE78" s="278" t="inlineStr"/>
      <c r="SLF78" s="278" t="inlineStr"/>
      <c r="SLG78" s="278" t="inlineStr"/>
      <c r="SLH78" s="278" t="inlineStr"/>
      <c r="SLI78" s="278" t="inlineStr"/>
      <c r="SLJ78" s="278" t="inlineStr"/>
      <c r="SLK78" s="278" t="inlineStr"/>
      <c r="SLL78" s="278" t="inlineStr"/>
      <c r="SLM78" s="278" t="inlineStr"/>
      <c r="SLN78" s="278" t="inlineStr"/>
      <c r="SLO78" s="278" t="inlineStr"/>
      <c r="SLP78" s="278" t="inlineStr"/>
      <c r="SLQ78" s="278" t="inlineStr"/>
      <c r="SLR78" s="278" t="inlineStr"/>
      <c r="SLS78" s="278" t="inlineStr"/>
      <c r="SLT78" s="278" t="inlineStr"/>
      <c r="SLU78" s="278" t="inlineStr"/>
      <c r="SLV78" s="278" t="inlineStr"/>
      <c r="SLW78" s="278" t="inlineStr"/>
      <c r="SLX78" s="278" t="inlineStr"/>
      <c r="SLY78" s="278" t="inlineStr"/>
      <c r="SLZ78" s="278" t="inlineStr"/>
      <c r="SMA78" s="278" t="inlineStr"/>
      <c r="SMB78" s="278" t="inlineStr"/>
      <c r="SMC78" s="278" t="inlineStr"/>
      <c r="SMD78" s="278" t="inlineStr"/>
      <c r="SME78" s="278" t="inlineStr"/>
      <c r="SMF78" s="278" t="inlineStr"/>
      <c r="SMG78" s="278" t="inlineStr"/>
      <c r="SMH78" s="278" t="inlineStr"/>
      <c r="SMI78" s="278" t="inlineStr"/>
      <c r="SMJ78" s="278" t="inlineStr"/>
      <c r="SMK78" s="278" t="inlineStr"/>
      <c r="SML78" s="278" t="inlineStr"/>
      <c r="SMM78" s="278" t="inlineStr"/>
      <c r="SMN78" s="278" t="inlineStr"/>
      <c r="SMO78" s="278" t="inlineStr"/>
      <c r="SMP78" s="278" t="inlineStr"/>
      <c r="SMQ78" s="278" t="inlineStr"/>
      <c r="SMR78" s="278" t="inlineStr"/>
      <c r="SMS78" s="278" t="inlineStr"/>
      <c r="SMT78" s="278" t="inlineStr"/>
      <c r="SMU78" s="278" t="inlineStr"/>
      <c r="SMV78" s="278" t="inlineStr"/>
      <c r="SMW78" s="278" t="inlineStr"/>
      <c r="SMX78" s="278" t="inlineStr"/>
      <c r="SMY78" s="278" t="inlineStr"/>
      <c r="SMZ78" s="278" t="inlineStr"/>
      <c r="SNA78" s="278" t="inlineStr"/>
      <c r="SNB78" s="278" t="inlineStr"/>
      <c r="SNC78" s="278" t="inlineStr"/>
      <c r="SND78" s="278" t="inlineStr"/>
      <c r="SNE78" s="278" t="inlineStr"/>
      <c r="SNF78" s="278" t="inlineStr"/>
      <c r="SNG78" s="278" t="inlineStr"/>
      <c r="SNH78" s="278" t="inlineStr"/>
      <c r="SNI78" s="278" t="inlineStr"/>
      <c r="SNJ78" s="278" t="inlineStr"/>
      <c r="SNK78" s="278" t="inlineStr"/>
      <c r="SNL78" s="278" t="inlineStr"/>
      <c r="SNM78" s="278" t="inlineStr"/>
      <c r="SNN78" s="278" t="inlineStr"/>
      <c r="SNO78" s="278" t="inlineStr"/>
      <c r="SNP78" s="278" t="inlineStr"/>
      <c r="SNQ78" s="278" t="inlineStr"/>
      <c r="SNR78" s="278" t="inlineStr"/>
      <c r="SNS78" s="278" t="inlineStr"/>
      <c r="SNT78" s="278" t="inlineStr"/>
      <c r="SNU78" s="278" t="inlineStr"/>
      <c r="SNV78" s="278" t="inlineStr"/>
      <c r="SNW78" s="278" t="inlineStr"/>
      <c r="SNX78" s="278" t="inlineStr"/>
      <c r="SNY78" s="278" t="inlineStr"/>
      <c r="SNZ78" s="278" t="inlineStr"/>
      <c r="SOA78" s="278" t="inlineStr"/>
      <c r="SOB78" s="278" t="inlineStr"/>
      <c r="SOC78" s="278" t="inlineStr"/>
      <c r="SOD78" s="278" t="inlineStr"/>
      <c r="SOE78" s="278" t="inlineStr"/>
      <c r="SOF78" s="278" t="inlineStr"/>
      <c r="SOG78" s="278" t="inlineStr"/>
      <c r="SOH78" s="278" t="inlineStr"/>
      <c r="SOI78" s="278" t="inlineStr"/>
      <c r="SOJ78" s="278" t="inlineStr"/>
      <c r="SOK78" s="278" t="inlineStr"/>
      <c r="SOL78" s="278" t="inlineStr"/>
      <c r="SOM78" s="278" t="inlineStr"/>
      <c r="SON78" s="278" t="inlineStr"/>
      <c r="SOO78" s="278" t="inlineStr"/>
      <c r="SOP78" s="278" t="inlineStr"/>
      <c r="SOQ78" s="278" t="inlineStr"/>
      <c r="SOR78" s="278" t="inlineStr"/>
      <c r="SOS78" s="278" t="inlineStr"/>
      <c r="SOT78" s="278" t="inlineStr"/>
      <c r="SOU78" s="278" t="inlineStr"/>
      <c r="SOV78" s="278" t="inlineStr"/>
      <c r="SOW78" s="278" t="inlineStr"/>
      <c r="SOX78" s="278" t="inlineStr"/>
      <c r="SOY78" s="278" t="inlineStr"/>
      <c r="SOZ78" s="278" t="inlineStr"/>
      <c r="SPA78" s="278" t="inlineStr"/>
      <c r="SPB78" s="278" t="inlineStr"/>
      <c r="SPC78" s="278" t="inlineStr"/>
      <c r="SPD78" s="278" t="inlineStr"/>
      <c r="SPE78" s="278" t="inlineStr"/>
      <c r="SPF78" s="278" t="inlineStr"/>
      <c r="SPG78" s="278" t="inlineStr"/>
      <c r="SPH78" s="278" t="inlineStr"/>
      <c r="SPI78" s="278" t="inlineStr"/>
      <c r="SPJ78" s="278" t="inlineStr"/>
      <c r="SPK78" s="278" t="inlineStr"/>
      <c r="SPL78" s="278" t="inlineStr"/>
      <c r="SPM78" s="278" t="inlineStr"/>
      <c r="SPN78" s="278" t="inlineStr"/>
      <c r="SPO78" s="278" t="inlineStr"/>
      <c r="SPP78" s="278" t="inlineStr"/>
      <c r="SPQ78" s="278" t="inlineStr"/>
      <c r="SPR78" s="278" t="inlineStr"/>
      <c r="SPS78" s="278" t="inlineStr"/>
      <c r="SPT78" s="278" t="inlineStr"/>
      <c r="SPU78" s="278" t="inlineStr"/>
      <c r="SPV78" s="278" t="inlineStr"/>
      <c r="SPW78" s="278" t="inlineStr"/>
      <c r="SPX78" s="278" t="inlineStr"/>
      <c r="SPY78" s="278" t="inlineStr"/>
      <c r="SPZ78" s="278" t="inlineStr"/>
      <c r="SQA78" s="278" t="inlineStr"/>
      <c r="SQB78" s="278" t="inlineStr"/>
      <c r="SQC78" s="278" t="inlineStr"/>
      <c r="SQD78" s="278" t="inlineStr"/>
      <c r="SQE78" s="278" t="inlineStr"/>
      <c r="SQF78" s="278" t="inlineStr"/>
      <c r="SQG78" s="278" t="inlineStr"/>
      <c r="SQH78" s="278" t="inlineStr"/>
      <c r="SQI78" s="278" t="inlineStr"/>
      <c r="SQJ78" s="278" t="inlineStr"/>
      <c r="SQK78" s="278" t="inlineStr"/>
      <c r="SQL78" s="278" t="inlineStr"/>
      <c r="SQM78" s="278" t="inlineStr"/>
      <c r="SQN78" s="278" t="inlineStr"/>
      <c r="SQO78" s="278" t="inlineStr"/>
      <c r="SQP78" s="278" t="inlineStr"/>
      <c r="SQQ78" s="278" t="inlineStr"/>
      <c r="SQR78" s="278" t="inlineStr"/>
      <c r="SQS78" s="278" t="inlineStr"/>
      <c r="SQT78" s="278" t="inlineStr"/>
      <c r="SQU78" s="278" t="inlineStr"/>
      <c r="SQV78" s="278" t="inlineStr"/>
      <c r="SQW78" s="278" t="inlineStr"/>
      <c r="SQX78" s="278" t="inlineStr"/>
      <c r="SQY78" s="278" t="inlineStr"/>
      <c r="SQZ78" s="278" t="inlineStr"/>
      <c r="SRA78" s="278" t="inlineStr"/>
      <c r="SRB78" s="278" t="inlineStr"/>
      <c r="SRC78" s="278" t="inlineStr"/>
      <c r="SRD78" s="278" t="inlineStr"/>
      <c r="SRE78" s="278" t="inlineStr"/>
      <c r="SRF78" s="278" t="inlineStr"/>
      <c r="SRG78" s="278" t="inlineStr"/>
      <c r="SRH78" s="278" t="inlineStr"/>
      <c r="SRI78" s="278" t="inlineStr"/>
      <c r="SRJ78" s="278" t="inlineStr"/>
      <c r="SRK78" s="278" t="inlineStr"/>
      <c r="SRL78" s="278" t="inlineStr"/>
      <c r="SRM78" s="278" t="inlineStr"/>
      <c r="SRN78" s="278" t="inlineStr"/>
      <c r="SRO78" s="278" t="inlineStr"/>
      <c r="SRP78" s="278" t="inlineStr"/>
      <c r="SRQ78" s="278" t="inlineStr"/>
      <c r="SRR78" s="278" t="inlineStr"/>
      <c r="SRS78" s="278" t="inlineStr"/>
      <c r="SRT78" s="278" t="inlineStr"/>
      <c r="SRU78" s="278" t="inlineStr"/>
      <c r="SRV78" s="278" t="inlineStr"/>
      <c r="SRW78" s="278" t="inlineStr"/>
      <c r="SRX78" s="278" t="inlineStr"/>
      <c r="SRY78" s="278" t="inlineStr"/>
      <c r="SRZ78" s="278" t="inlineStr"/>
      <c r="SSA78" s="278" t="inlineStr"/>
      <c r="SSB78" s="278" t="inlineStr"/>
      <c r="SSC78" s="278" t="inlineStr"/>
      <c r="SSD78" s="278" t="inlineStr"/>
      <c r="SSE78" s="278" t="inlineStr"/>
      <c r="SSF78" s="278" t="inlineStr"/>
      <c r="SSG78" s="278" t="inlineStr"/>
      <c r="SSH78" s="278" t="inlineStr"/>
      <c r="SSI78" s="278" t="inlineStr"/>
      <c r="SSJ78" s="278" t="inlineStr"/>
      <c r="SSK78" s="278" t="inlineStr"/>
      <c r="SSL78" s="278" t="inlineStr"/>
      <c r="SSM78" s="278" t="inlineStr"/>
      <c r="SSN78" s="278" t="inlineStr"/>
      <c r="SSO78" s="278" t="inlineStr"/>
      <c r="SSP78" s="278" t="inlineStr"/>
      <c r="SSQ78" s="278" t="inlineStr"/>
      <c r="SSR78" s="278" t="inlineStr"/>
      <c r="SSS78" s="278" t="inlineStr"/>
      <c r="SST78" s="278" t="inlineStr"/>
      <c r="SSU78" s="278" t="inlineStr"/>
      <c r="SSV78" s="278" t="inlineStr"/>
      <c r="SSW78" s="278" t="inlineStr"/>
      <c r="SSX78" s="278" t="inlineStr"/>
      <c r="SSY78" s="278" t="inlineStr"/>
      <c r="SSZ78" s="278" t="inlineStr"/>
      <c r="STA78" s="278" t="inlineStr"/>
      <c r="STB78" s="278" t="inlineStr"/>
      <c r="STC78" s="278" t="inlineStr"/>
      <c r="STD78" s="278" t="inlineStr"/>
      <c r="STE78" s="278" t="inlineStr"/>
      <c r="STF78" s="278" t="inlineStr"/>
      <c r="STG78" s="278" t="inlineStr"/>
      <c r="STH78" s="278" t="inlineStr"/>
      <c r="STI78" s="278" t="inlineStr"/>
      <c r="STJ78" s="278" t="inlineStr"/>
      <c r="STK78" s="278" t="inlineStr"/>
      <c r="STL78" s="278" t="inlineStr"/>
      <c r="STM78" s="278" t="inlineStr"/>
      <c r="STN78" s="278" t="inlineStr"/>
      <c r="STO78" s="278" t="inlineStr"/>
      <c r="STP78" s="278" t="inlineStr"/>
      <c r="STQ78" s="278" t="inlineStr"/>
      <c r="STR78" s="278" t="inlineStr"/>
      <c r="STS78" s="278" t="inlineStr"/>
      <c r="STT78" s="278" t="inlineStr"/>
      <c r="STU78" s="278" t="inlineStr"/>
      <c r="STV78" s="278" t="inlineStr"/>
      <c r="STW78" s="278" t="inlineStr"/>
      <c r="STX78" s="278" t="inlineStr"/>
      <c r="STY78" s="278" t="inlineStr"/>
      <c r="STZ78" s="278" t="inlineStr"/>
      <c r="SUA78" s="278" t="inlineStr"/>
      <c r="SUB78" s="278" t="inlineStr"/>
      <c r="SUC78" s="278" t="inlineStr"/>
      <c r="SUD78" s="278" t="inlineStr"/>
      <c r="SUE78" s="278" t="inlineStr"/>
      <c r="SUF78" s="278" t="inlineStr"/>
      <c r="SUG78" s="278" t="inlineStr"/>
      <c r="SUH78" s="278" t="inlineStr"/>
      <c r="SUI78" s="278" t="inlineStr"/>
      <c r="SUJ78" s="278" t="inlineStr"/>
      <c r="SUK78" s="278" t="inlineStr"/>
      <c r="SUL78" s="278" t="inlineStr"/>
      <c r="SUM78" s="278" t="inlineStr"/>
      <c r="SUN78" s="278" t="inlineStr"/>
      <c r="SUO78" s="278" t="inlineStr"/>
      <c r="SUP78" s="278" t="inlineStr"/>
      <c r="SUQ78" s="278" t="inlineStr"/>
      <c r="SUR78" s="278" t="inlineStr"/>
      <c r="SUS78" s="278" t="inlineStr"/>
      <c r="SUT78" s="278" t="inlineStr"/>
      <c r="SUU78" s="278" t="inlineStr"/>
      <c r="SUV78" s="278" t="inlineStr"/>
      <c r="SUW78" s="278" t="inlineStr"/>
      <c r="SUX78" s="278" t="inlineStr"/>
      <c r="SUY78" s="278" t="inlineStr"/>
      <c r="SUZ78" s="278" t="inlineStr"/>
      <c r="SVA78" s="278" t="inlineStr"/>
      <c r="SVB78" s="278" t="inlineStr"/>
      <c r="SVC78" s="278" t="inlineStr"/>
      <c r="SVD78" s="278" t="inlineStr"/>
      <c r="SVE78" s="278" t="inlineStr"/>
      <c r="SVF78" s="278" t="inlineStr"/>
      <c r="SVG78" s="278" t="inlineStr"/>
      <c r="SVH78" s="278" t="inlineStr"/>
      <c r="SVI78" s="278" t="inlineStr"/>
      <c r="SVJ78" s="278" t="inlineStr"/>
      <c r="SVK78" s="278" t="inlineStr"/>
      <c r="SVL78" s="278" t="inlineStr"/>
      <c r="SVM78" s="278" t="inlineStr"/>
      <c r="SVN78" s="278" t="inlineStr"/>
      <c r="SVO78" s="278" t="inlineStr"/>
      <c r="SVP78" s="278" t="inlineStr"/>
      <c r="SVQ78" s="278" t="inlineStr"/>
      <c r="SVR78" s="278" t="inlineStr"/>
      <c r="SVS78" s="278" t="inlineStr"/>
      <c r="SVT78" s="278" t="inlineStr"/>
      <c r="SVU78" s="278" t="inlineStr"/>
      <c r="SVV78" s="278" t="inlineStr"/>
      <c r="SVW78" s="278" t="inlineStr"/>
      <c r="SVX78" s="278" t="inlineStr"/>
      <c r="SVY78" s="278" t="inlineStr"/>
      <c r="SVZ78" s="278" t="inlineStr"/>
      <c r="SWA78" s="278" t="inlineStr"/>
      <c r="SWB78" s="278" t="inlineStr"/>
      <c r="SWC78" s="278" t="inlineStr"/>
      <c r="SWD78" s="278" t="inlineStr"/>
      <c r="SWE78" s="278" t="inlineStr"/>
      <c r="SWF78" s="278" t="inlineStr"/>
      <c r="SWG78" s="278" t="inlineStr"/>
      <c r="SWH78" s="278" t="inlineStr"/>
      <c r="SWI78" s="278" t="inlineStr"/>
      <c r="SWJ78" s="278" t="inlineStr"/>
      <c r="SWK78" s="278" t="inlineStr"/>
      <c r="SWL78" s="278" t="inlineStr"/>
      <c r="SWM78" s="278" t="inlineStr"/>
      <c r="SWN78" s="278" t="inlineStr"/>
      <c r="SWO78" s="278" t="inlineStr"/>
      <c r="SWP78" s="278" t="inlineStr"/>
      <c r="SWQ78" s="278" t="inlineStr"/>
      <c r="SWR78" s="278" t="inlineStr"/>
      <c r="SWS78" s="278" t="inlineStr"/>
      <c r="SWT78" s="278" t="inlineStr"/>
      <c r="SWU78" s="278" t="inlineStr"/>
      <c r="SWV78" s="278" t="inlineStr"/>
      <c r="SWW78" s="278" t="inlineStr"/>
      <c r="SWX78" s="278" t="inlineStr"/>
      <c r="SWY78" s="278" t="inlineStr"/>
      <c r="SWZ78" s="278" t="inlineStr"/>
      <c r="SXA78" s="278" t="inlineStr"/>
      <c r="SXB78" s="278" t="inlineStr"/>
      <c r="SXC78" s="278" t="inlineStr"/>
      <c r="SXD78" s="278" t="inlineStr"/>
      <c r="SXE78" s="278" t="inlineStr"/>
      <c r="SXF78" s="278" t="inlineStr"/>
      <c r="SXG78" s="278" t="inlineStr"/>
      <c r="SXH78" s="278" t="inlineStr"/>
      <c r="SXI78" s="278" t="inlineStr"/>
      <c r="SXJ78" s="278" t="inlineStr"/>
      <c r="SXK78" s="278" t="inlineStr"/>
      <c r="SXL78" s="278" t="inlineStr"/>
      <c r="SXM78" s="278" t="inlineStr"/>
      <c r="SXN78" s="278" t="inlineStr"/>
      <c r="SXO78" s="278" t="inlineStr"/>
      <c r="SXP78" s="278" t="inlineStr"/>
      <c r="SXQ78" s="278" t="inlineStr"/>
      <c r="SXR78" s="278" t="inlineStr"/>
      <c r="SXS78" s="278" t="inlineStr"/>
      <c r="SXT78" s="278" t="inlineStr"/>
      <c r="SXU78" s="278" t="inlineStr"/>
      <c r="SXV78" s="278" t="inlineStr"/>
      <c r="SXW78" s="278" t="inlineStr"/>
      <c r="SXX78" s="278" t="inlineStr"/>
      <c r="SXY78" s="278" t="inlineStr"/>
      <c r="SXZ78" s="278" t="inlineStr"/>
      <c r="SYA78" s="278" t="inlineStr"/>
      <c r="SYB78" s="278" t="inlineStr"/>
      <c r="SYC78" s="278" t="inlineStr"/>
      <c r="SYD78" s="278" t="inlineStr"/>
      <c r="SYE78" s="278" t="inlineStr"/>
      <c r="SYF78" s="278" t="inlineStr"/>
      <c r="SYG78" s="278" t="inlineStr"/>
      <c r="SYH78" s="278" t="inlineStr"/>
      <c r="SYI78" s="278" t="inlineStr"/>
      <c r="SYJ78" s="278" t="inlineStr"/>
      <c r="SYK78" s="278" t="inlineStr"/>
      <c r="SYL78" s="278" t="inlineStr"/>
      <c r="SYM78" s="278" t="inlineStr"/>
      <c r="SYN78" s="278" t="inlineStr"/>
      <c r="SYO78" s="278" t="inlineStr"/>
      <c r="SYP78" s="278" t="inlineStr"/>
      <c r="SYQ78" s="278" t="inlineStr"/>
      <c r="SYR78" s="278" t="inlineStr"/>
      <c r="SYS78" s="278" t="inlineStr"/>
      <c r="SYT78" s="278" t="inlineStr"/>
      <c r="SYU78" s="278" t="inlineStr"/>
      <c r="SYV78" s="278" t="inlineStr"/>
      <c r="SYW78" s="278" t="inlineStr"/>
      <c r="SYX78" s="278" t="inlineStr"/>
      <c r="SYY78" s="278" t="inlineStr"/>
      <c r="SYZ78" s="278" t="inlineStr"/>
      <c r="SZA78" s="278" t="inlineStr"/>
      <c r="SZB78" s="278" t="inlineStr"/>
      <c r="SZC78" s="278" t="inlineStr"/>
      <c r="SZD78" s="278" t="inlineStr"/>
      <c r="SZE78" s="278" t="inlineStr"/>
      <c r="SZF78" s="278" t="inlineStr"/>
      <c r="SZG78" s="278" t="inlineStr"/>
      <c r="SZH78" s="278" t="inlineStr"/>
      <c r="SZI78" s="278" t="inlineStr"/>
      <c r="SZJ78" s="278" t="inlineStr"/>
      <c r="SZK78" s="278" t="inlineStr"/>
      <c r="SZL78" s="278" t="inlineStr"/>
      <c r="SZM78" s="278" t="inlineStr"/>
      <c r="SZN78" s="278" t="inlineStr"/>
      <c r="SZO78" s="278" t="inlineStr"/>
      <c r="SZP78" s="278" t="inlineStr"/>
      <c r="SZQ78" s="278" t="inlineStr"/>
      <c r="SZR78" s="278" t="inlineStr"/>
      <c r="SZS78" s="278" t="inlineStr"/>
      <c r="SZT78" s="278" t="inlineStr"/>
      <c r="SZU78" s="278" t="inlineStr"/>
      <c r="SZV78" s="278" t="inlineStr"/>
      <c r="SZW78" s="278" t="inlineStr"/>
      <c r="SZX78" s="278" t="inlineStr"/>
      <c r="SZY78" s="278" t="inlineStr"/>
      <c r="SZZ78" s="278" t="inlineStr"/>
      <c r="TAA78" s="278" t="inlineStr"/>
      <c r="TAB78" s="278" t="inlineStr"/>
      <c r="TAC78" s="278" t="inlineStr"/>
      <c r="TAD78" s="278" t="inlineStr"/>
      <c r="TAE78" s="278" t="inlineStr"/>
      <c r="TAF78" s="278" t="inlineStr"/>
      <c r="TAG78" s="278" t="inlineStr"/>
      <c r="TAH78" s="278" t="inlineStr"/>
      <c r="TAI78" s="278" t="inlineStr"/>
      <c r="TAJ78" s="278" t="inlineStr"/>
      <c r="TAK78" s="278" t="inlineStr"/>
      <c r="TAL78" s="278" t="inlineStr"/>
      <c r="TAM78" s="278" t="inlineStr"/>
      <c r="TAN78" s="278" t="inlineStr"/>
      <c r="TAO78" s="278" t="inlineStr"/>
      <c r="TAP78" s="278" t="inlineStr"/>
      <c r="TAQ78" s="278" t="inlineStr"/>
      <c r="TAR78" s="278" t="inlineStr"/>
      <c r="TAS78" s="278" t="inlineStr"/>
      <c r="TAT78" s="278" t="inlineStr"/>
      <c r="TAU78" s="278" t="inlineStr"/>
      <c r="TAV78" s="278" t="inlineStr"/>
      <c r="TAW78" s="278" t="inlineStr"/>
      <c r="TAX78" s="278" t="inlineStr"/>
      <c r="TAY78" s="278" t="inlineStr"/>
      <c r="TAZ78" s="278" t="inlineStr"/>
      <c r="TBA78" s="278" t="inlineStr"/>
      <c r="TBB78" s="278" t="inlineStr"/>
      <c r="TBC78" s="278" t="inlineStr"/>
      <c r="TBD78" s="278" t="inlineStr"/>
      <c r="TBE78" s="278" t="inlineStr"/>
      <c r="TBF78" s="278" t="inlineStr"/>
      <c r="TBG78" s="278" t="inlineStr"/>
      <c r="TBH78" s="278" t="inlineStr"/>
      <c r="TBI78" s="278" t="inlineStr"/>
      <c r="TBJ78" s="278" t="inlineStr"/>
      <c r="TBK78" s="278" t="inlineStr"/>
      <c r="TBL78" s="278" t="inlineStr"/>
      <c r="TBM78" s="278" t="inlineStr"/>
      <c r="TBN78" s="278" t="inlineStr"/>
      <c r="TBO78" s="278" t="inlineStr"/>
      <c r="TBP78" s="278" t="inlineStr"/>
      <c r="TBQ78" s="278" t="inlineStr"/>
      <c r="TBR78" s="278" t="inlineStr"/>
      <c r="TBS78" s="278" t="inlineStr"/>
      <c r="TBT78" s="278" t="inlineStr"/>
      <c r="TBU78" s="278" t="inlineStr"/>
      <c r="TBV78" s="278" t="inlineStr"/>
      <c r="TBW78" s="278" t="inlineStr"/>
      <c r="TBX78" s="278" t="inlineStr"/>
      <c r="TBY78" s="278" t="inlineStr"/>
      <c r="TBZ78" s="278" t="inlineStr"/>
      <c r="TCA78" s="278" t="inlineStr"/>
      <c r="TCB78" s="278" t="inlineStr"/>
      <c r="TCC78" s="278" t="inlineStr"/>
      <c r="TCD78" s="278" t="inlineStr"/>
      <c r="TCE78" s="278" t="inlineStr"/>
      <c r="TCF78" s="278" t="inlineStr"/>
      <c r="TCG78" s="278" t="inlineStr"/>
      <c r="TCH78" s="278" t="inlineStr"/>
      <c r="TCI78" s="278" t="inlineStr"/>
      <c r="TCJ78" s="278" t="inlineStr"/>
      <c r="TCK78" s="278" t="inlineStr"/>
      <c r="TCL78" s="278" t="inlineStr"/>
      <c r="TCM78" s="278" t="inlineStr"/>
      <c r="TCN78" s="278" t="inlineStr"/>
      <c r="TCO78" s="278" t="inlineStr"/>
      <c r="TCP78" s="278" t="inlineStr"/>
      <c r="TCQ78" s="278" t="inlineStr"/>
      <c r="TCR78" s="278" t="inlineStr"/>
      <c r="TCS78" s="278" t="inlineStr"/>
      <c r="TCT78" s="278" t="inlineStr"/>
      <c r="TCU78" s="278" t="inlineStr"/>
      <c r="TCV78" s="278" t="inlineStr"/>
      <c r="TCW78" s="278" t="inlineStr"/>
      <c r="TCX78" s="278" t="inlineStr"/>
      <c r="TCY78" s="278" t="inlineStr"/>
      <c r="TCZ78" s="278" t="inlineStr"/>
      <c r="TDA78" s="278" t="inlineStr"/>
      <c r="TDB78" s="278" t="inlineStr"/>
      <c r="TDC78" s="278" t="inlineStr"/>
      <c r="TDD78" s="278" t="inlineStr"/>
      <c r="TDE78" s="278" t="inlineStr"/>
      <c r="TDF78" s="278" t="inlineStr"/>
      <c r="TDG78" s="278" t="inlineStr"/>
      <c r="TDH78" s="278" t="inlineStr"/>
      <c r="TDI78" s="278" t="inlineStr"/>
      <c r="TDJ78" s="278" t="inlineStr"/>
      <c r="TDK78" s="278" t="inlineStr"/>
      <c r="TDL78" s="278" t="inlineStr"/>
      <c r="TDM78" s="278" t="inlineStr"/>
      <c r="TDN78" s="278" t="inlineStr"/>
      <c r="TDO78" s="278" t="inlineStr"/>
      <c r="TDP78" s="278" t="inlineStr"/>
      <c r="TDQ78" s="278" t="inlineStr"/>
      <c r="TDR78" s="278" t="inlineStr"/>
      <c r="TDS78" s="278" t="inlineStr"/>
      <c r="TDT78" s="278" t="inlineStr"/>
      <c r="TDU78" s="278" t="inlineStr"/>
      <c r="TDV78" s="278" t="inlineStr"/>
      <c r="TDW78" s="278" t="inlineStr"/>
      <c r="TDX78" s="278" t="inlineStr"/>
      <c r="TDY78" s="278" t="inlineStr"/>
      <c r="TDZ78" s="278" t="inlineStr"/>
      <c r="TEA78" s="278" t="inlineStr"/>
      <c r="TEB78" s="278" t="inlineStr"/>
      <c r="TEC78" s="278" t="inlineStr"/>
      <c r="TED78" s="278" t="inlineStr"/>
      <c r="TEE78" s="278" t="inlineStr"/>
      <c r="TEF78" s="278" t="inlineStr"/>
      <c r="TEG78" s="278" t="inlineStr"/>
      <c r="TEH78" s="278" t="inlineStr"/>
      <c r="TEI78" s="278" t="inlineStr"/>
      <c r="TEJ78" s="278" t="inlineStr"/>
      <c r="TEK78" s="278" t="inlineStr"/>
      <c r="TEL78" s="278" t="inlineStr"/>
      <c r="TEM78" s="278" t="inlineStr"/>
      <c r="TEN78" s="278" t="inlineStr"/>
      <c r="TEO78" s="278" t="inlineStr"/>
      <c r="TEP78" s="278" t="inlineStr"/>
      <c r="TEQ78" s="278" t="inlineStr"/>
      <c r="TER78" s="278" t="inlineStr"/>
      <c r="TES78" s="278" t="inlineStr"/>
      <c r="TET78" s="278" t="inlineStr"/>
      <c r="TEU78" s="278" t="inlineStr"/>
      <c r="TEV78" s="278" t="inlineStr"/>
      <c r="TEW78" s="278" t="inlineStr"/>
      <c r="TEX78" s="278" t="inlineStr"/>
      <c r="TEY78" s="278" t="inlineStr"/>
      <c r="TEZ78" s="278" t="inlineStr"/>
      <c r="TFA78" s="278" t="inlineStr"/>
      <c r="TFB78" s="278" t="inlineStr"/>
      <c r="TFC78" s="278" t="inlineStr"/>
      <c r="TFD78" s="278" t="inlineStr"/>
      <c r="TFE78" s="278" t="inlineStr"/>
      <c r="TFF78" s="278" t="inlineStr"/>
      <c r="TFG78" s="278" t="inlineStr"/>
      <c r="TFH78" s="278" t="inlineStr"/>
      <c r="TFI78" s="278" t="inlineStr"/>
      <c r="TFJ78" s="278" t="inlineStr"/>
      <c r="TFK78" s="278" t="inlineStr"/>
      <c r="TFL78" s="278" t="inlineStr"/>
      <c r="TFM78" s="278" t="inlineStr"/>
      <c r="TFN78" s="278" t="inlineStr"/>
      <c r="TFO78" s="278" t="inlineStr"/>
      <c r="TFP78" s="278" t="inlineStr"/>
      <c r="TFQ78" s="278" t="inlineStr"/>
      <c r="TFR78" s="278" t="inlineStr"/>
      <c r="TFS78" s="278" t="inlineStr"/>
      <c r="TFT78" s="278" t="inlineStr"/>
      <c r="TFU78" s="278" t="inlineStr"/>
      <c r="TFV78" s="278" t="inlineStr"/>
      <c r="TFW78" s="278" t="inlineStr"/>
      <c r="TFX78" s="278" t="inlineStr"/>
      <c r="TFY78" s="278" t="inlineStr"/>
      <c r="TFZ78" s="278" t="inlineStr"/>
      <c r="TGA78" s="278" t="inlineStr"/>
      <c r="TGB78" s="278" t="inlineStr"/>
      <c r="TGC78" s="278" t="inlineStr"/>
      <c r="TGD78" s="278" t="inlineStr"/>
      <c r="TGE78" s="278" t="inlineStr"/>
      <c r="TGF78" s="278" t="inlineStr"/>
      <c r="TGG78" s="278" t="inlineStr"/>
      <c r="TGH78" s="278" t="inlineStr"/>
      <c r="TGI78" s="278" t="inlineStr"/>
      <c r="TGJ78" s="278" t="inlineStr"/>
      <c r="TGK78" s="278" t="inlineStr"/>
      <c r="TGL78" s="278" t="inlineStr"/>
      <c r="TGM78" s="278" t="inlineStr"/>
      <c r="TGN78" s="278" t="inlineStr"/>
      <c r="TGO78" s="278" t="inlineStr"/>
      <c r="TGP78" s="278" t="inlineStr"/>
      <c r="TGQ78" s="278" t="inlineStr"/>
      <c r="TGR78" s="278" t="inlineStr"/>
      <c r="TGS78" s="278" t="inlineStr"/>
      <c r="TGT78" s="278" t="inlineStr"/>
      <c r="TGU78" s="278" t="inlineStr"/>
      <c r="TGV78" s="278" t="inlineStr"/>
      <c r="TGW78" s="278" t="inlineStr"/>
      <c r="TGX78" s="278" t="inlineStr"/>
      <c r="TGY78" s="278" t="inlineStr"/>
      <c r="TGZ78" s="278" t="inlineStr"/>
      <c r="THA78" s="278" t="inlineStr"/>
      <c r="THB78" s="278" t="inlineStr"/>
      <c r="THC78" s="278" t="inlineStr"/>
      <c r="THD78" s="278" t="inlineStr"/>
      <c r="THE78" s="278" t="inlineStr"/>
      <c r="THF78" s="278" t="inlineStr"/>
      <c r="THG78" s="278" t="inlineStr"/>
      <c r="THH78" s="278" t="inlineStr"/>
      <c r="THI78" s="278" t="inlineStr"/>
      <c r="THJ78" s="278" t="inlineStr"/>
      <c r="THK78" s="278" t="inlineStr"/>
      <c r="THL78" s="278" t="inlineStr"/>
      <c r="THM78" s="278" t="inlineStr"/>
      <c r="THN78" s="278" t="inlineStr"/>
      <c r="THO78" s="278" t="inlineStr"/>
      <c r="THP78" s="278" t="inlineStr"/>
      <c r="THQ78" s="278" t="inlineStr"/>
      <c r="THR78" s="278" t="inlineStr"/>
      <c r="THS78" s="278" t="inlineStr"/>
      <c r="THT78" s="278" t="inlineStr"/>
      <c r="THU78" s="278" t="inlineStr"/>
      <c r="THV78" s="278" t="inlineStr"/>
      <c r="THW78" s="278" t="inlineStr"/>
      <c r="THX78" s="278" t="inlineStr"/>
      <c r="THY78" s="278" t="inlineStr"/>
      <c r="THZ78" s="278" t="inlineStr"/>
      <c r="TIA78" s="278" t="inlineStr"/>
      <c r="TIB78" s="278" t="inlineStr"/>
      <c r="TIC78" s="278" t="inlineStr"/>
      <c r="TID78" s="278" t="inlineStr"/>
      <c r="TIE78" s="278" t="inlineStr"/>
      <c r="TIF78" s="278" t="inlineStr"/>
      <c r="TIG78" s="278" t="inlineStr"/>
      <c r="TIH78" s="278" t="inlineStr"/>
      <c r="TII78" s="278" t="inlineStr"/>
      <c r="TIJ78" s="278" t="inlineStr"/>
      <c r="TIK78" s="278" t="inlineStr"/>
      <c r="TIL78" s="278" t="inlineStr"/>
      <c r="TIM78" s="278" t="inlineStr"/>
      <c r="TIN78" s="278" t="inlineStr"/>
      <c r="TIO78" s="278" t="inlineStr"/>
      <c r="TIP78" s="278" t="inlineStr"/>
      <c r="TIQ78" s="278" t="inlineStr"/>
      <c r="TIR78" s="278" t="inlineStr"/>
      <c r="TIS78" s="278" t="inlineStr"/>
      <c r="TIT78" s="278" t="inlineStr"/>
      <c r="TIU78" s="278" t="inlineStr"/>
      <c r="TIV78" s="278" t="inlineStr"/>
      <c r="TIW78" s="278" t="inlineStr"/>
      <c r="TIX78" s="278" t="inlineStr"/>
      <c r="TIY78" s="278" t="inlineStr"/>
      <c r="TIZ78" s="278" t="inlineStr"/>
      <c r="TJA78" s="278" t="inlineStr"/>
      <c r="TJB78" s="278" t="inlineStr"/>
      <c r="TJC78" s="278" t="inlineStr"/>
      <c r="TJD78" s="278" t="inlineStr"/>
      <c r="TJE78" s="278" t="inlineStr"/>
      <c r="TJF78" s="278" t="inlineStr"/>
      <c r="TJG78" s="278" t="inlineStr"/>
      <c r="TJH78" s="278" t="inlineStr"/>
      <c r="TJI78" s="278" t="inlineStr"/>
      <c r="TJJ78" s="278" t="inlineStr"/>
      <c r="TJK78" s="278" t="inlineStr"/>
      <c r="TJL78" s="278" t="inlineStr"/>
      <c r="TJM78" s="278" t="inlineStr"/>
      <c r="TJN78" s="278" t="inlineStr"/>
      <c r="TJO78" s="278" t="inlineStr"/>
      <c r="TJP78" s="278" t="inlineStr"/>
      <c r="TJQ78" s="278" t="inlineStr"/>
      <c r="TJR78" s="278" t="inlineStr"/>
      <c r="TJS78" s="278" t="inlineStr"/>
      <c r="TJT78" s="278" t="inlineStr"/>
      <c r="TJU78" s="278" t="inlineStr"/>
      <c r="TJV78" s="278" t="inlineStr"/>
      <c r="TJW78" s="278" t="inlineStr"/>
      <c r="TJX78" s="278" t="inlineStr"/>
      <c r="TJY78" s="278" t="inlineStr"/>
      <c r="TJZ78" s="278" t="inlineStr"/>
      <c r="TKA78" s="278" t="inlineStr"/>
      <c r="TKB78" s="278" t="inlineStr"/>
      <c r="TKC78" s="278" t="inlineStr"/>
      <c r="TKD78" s="278" t="inlineStr"/>
      <c r="TKE78" s="278" t="inlineStr"/>
      <c r="TKF78" s="278" t="inlineStr"/>
      <c r="TKG78" s="278" t="inlineStr"/>
      <c r="TKH78" s="278" t="inlineStr"/>
      <c r="TKI78" s="278" t="inlineStr"/>
      <c r="TKJ78" s="278" t="inlineStr"/>
      <c r="TKK78" s="278" t="inlineStr"/>
      <c r="TKL78" s="278" t="inlineStr"/>
      <c r="TKM78" s="278" t="inlineStr"/>
      <c r="TKN78" s="278" t="inlineStr"/>
      <c r="TKO78" s="278" t="inlineStr"/>
      <c r="TKP78" s="278" t="inlineStr"/>
      <c r="TKQ78" s="278" t="inlineStr"/>
      <c r="TKR78" s="278" t="inlineStr"/>
      <c r="TKS78" s="278" t="inlineStr"/>
      <c r="TKT78" s="278" t="inlineStr"/>
      <c r="TKU78" s="278" t="inlineStr"/>
      <c r="TKV78" s="278" t="inlineStr"/>
      <c r="TKW78" s="278" t="inlineStr"/>
      <c r="TKX78" s="278" t="inlineStr"/>
      <c r="TKY78" s="278" t="inlineStr"/>
      <c r="TKZ78" s="278" t="inlineStr"/>
      <c r="TLA78" s="278" t="inlineStr"/>
      <c r="TLB78" s="278" t="inlineStr"/>
      <c r="TLC78" s="278" t="inlineStr"/>
      <c r="TLD78" s="278" t="inlineStr"/>
      <c r="TLE78" s="278" t="inlineStr"/>
      <c r="TLF78" s="278" t="inlineStr"/>
      <c r="TLG78" s="278" t="inlineStr"/>
      <c r="TLH78" s="278" t="inlineStr"/>
      <c r="TLI78" s="278" t="inlineStr"/>
      <c r="TLJ78" s="278" t="inlineStr"/>
      <c r="TLK78" s="278" t="inlineStr"/>
      <c r="TLL78" s="278" t="inlineStr"/>
      <c r="TLM78" s="278" t="inlineStr"/>
      <c r="TLN78" s="278" t="inlineStr"/>
      <c r="TLO78" s="278" t="inlineStr"/>
      <c r="TLP78" s="278" t="inlineStr"/>
      <c r="TLQ78" s="278" t="inlineStr"/>
      <c r="TLR78" s="278" t="inlineStr"/>
      <c r="TLS78" s="278" t="inlineStr"/>
      <c r="TLT78" s="278" t="inlineStr"/>
      <c r="TLU78" s="278" t="inlineStr"/>
      <c r="TLV78" s="278" t="inlineStr"/>
      <c r="TLW78" s="278" t="inlineStr"/>
      <c r="TLX78" s="278" t="inlineStr"/>
      <c r="TLY78" s="278" t="inlineStr"/>
      <c r="TLZ78" s="278" t="inlineStr"/>
      <c r="TMA78" s="278" t="inlineStr"/>
      <c r="TMB78" s="278" t="inlineStr"/>
      <c r="TMC78" s="278" t="inlineStr"/>
      <c r="TMD78" s="278" t="inlineStr"/>
      <c r="TME78" s="278" t="inlineStr"/>
      <c r="TMF78" s="278" t="inlineStr"/>
      <c r="TMG78" s="278" t="inlineStr"/>
      <c r="TMH78" s="278" t="inlineStr"/>
      <c r="TMI78" s="278" t="inlineStr"/>
      <c r="TMJ78" s="278" t="inlineStr"/>
      <c r="TMK78" s="278" t="inlineStr"/>
      <c r="TML78" s="278" t="inlineStr"/>
      <c r="TMM78" s="278" t="inlineStr"/>
      <c r="TMN78" s="278" t="inlineStr"/>
      <c r="TMO78" s="278" t="inlineStr"/>
      <c r="TMP78" s="278" t="inlineStr"/>
      <c r="TMQ78" s="278" t="inlineStr"/>
      <c r="TMR78" s="278" t="inlineStr"/>
      <c r="TMS78" s="278" t="inlineStr"/>
      <c r="TMT78" s="278" t="inlineStr"/>
      <c r="TMU78" s="278" t="inlineStr"/>
      <c r="TMV78" s="278" t="inlineStr"/>
      <c r="TMW78" s="278" t="inlineStr"/>
      <c r="TMX78" s="278" t="inlineStr"/>
      <c r="TMY78" s="278" t="inlineStr"/>
      <c r="TMZ78" s="278" t="inlineStr"/>
      <c r="TNA78" s="278" t="inlineStr"/>
      <c r="TNB78" s="278" t="inlineStr"/>
      <c r="TNC78" s="278" t="inlineStr"/>
      <c r="TND78" s="278" t="inlineStr"/>
      <c r="TNE78" s="278" t="inlineStr"/>
      <c r="TNF78" s="278" t="inlineStr"/>
      <c r="TNG78" s="278" t="inlineStr"/>
      <c r="TNH78" s="278" t="inlineStr"/>
      <c r="TNI78" s="278" t="inlineStr"/>
      <c r="TNJ78" s="278" t="inlineStr"/>
      <c r="TNK78" s="278" t="inlineStr"/>
      <c r="TNL78" s="278" t="inlineStr"/>
      <c r="TNM78" s="278" t="inlineStr"/>
      <c r="TNN78" s="278" t="inlineStr"/>
      <c r="TNO78" s="278" t="inlineStr"/>
      <c r="TNP78" s="278" t="inlineStr"/>
      <c r="TNQ78" s="278" t="inlineStr"/>
      <c r="TNR78" s="278" t="inlineStr"/>
      <c r="TNS78" s="278" t="inlineStr"/>
      <c r="TNT78" s="278" t="inlineStr"/>
      <c r="TNU78" s="278" t="inlineStr"/>
      <c r="TNV78" s="278" t="inlineStr"/>
      <c r="TNW78" s="278" t="inlineStr"/>
      <c r="TNX78" s="278" t="inlineStr"/>
      <c r="TNY78" s="278" t="inlineStr"/>
      <c r="TNZ78" s="278" t="inlineStr"/>
      <c r="TOA78" s="278" t="inlineStr"/>
      <c r="TOB78" s="278" t="inlineStr"/>
      <c r="TOC78" s="278" t="inlineStr"/>
      <c r="TOD78" s="278" t="inlineStr"/>
      <c r="TOE78" s="278" t="inlineStr"/>
      <c r="TOF78" s="278" t="inlineStr"/>
      <c r="TOG78" s="278" t="inlineStr"/>
      <c r="TOH78" s="278" t="inlineStr"/>
      <c r="TOI78" s="278" t="inlineStr"/>
      <c r="TOJ78" s="278" t="inlineStr"/>
      <c r="TOK78" s="278" t="inlineStr"/>
      <c r="TOL78" s="278" t="inlineStr"/>
      <c r="TOM78" s="278" t="inlineStr"/>
      <c r="TON78" s="278" t="inlineStr"/>
      <c r="TOO78" s="278" t="inlineStr"/>
      <c r="TOP78" s="278" t="inlineStr"/>
      <c r="TOQ78" s="278" t="inlineStr"/>
      <c r="TOR78" s="278" t="inlineStr"/>
      <c r="TOS78" s="278" t="inlineStr"/>
      <c r="TOT78" s="278" t="inlineStr"/>
      <c r="TOU78" s="278" t="inlineStr"/>
      <c r="TOV78" s="278" t="inlineStr"/>
      <c r="TOW78" s="278" t="inlineStr"/>
      <c r="TOX78" s="278" t="inlineStr"/>
      <c r="TOY78" s="278" t="inlineStr"/>
      <c r="TOZ78" s="278" t="inlineStr"/>
      <c r="TPA78" s="278" t="inlineStr"/>
      <c r="TPB78" s="278" t="inlineStr"/>
      <c r="TPC78" s="278" t="inlineStr"/>
      <c r="TPD78" s="278" t="inlineStr"/>
      <c r="TPE78" s="278" t="inlineStr"/>
      <c r="TPF78" s="278" t="inlineStr"/>
      <c r="TPG78" s="278" t="inlineStr"/>
      <c r="TPH78" s="278" t="inlineStr"/>
      <c r="TPI78" s="278" t="inlineStr"/>
      <c r="TPJ78" s="278" t="inlineStr"/>
      <c r="TPK78" s="278" t="inlineStr"/>
      <c r="TPL78" s="278" t="inlineStr"/>
      <c r="TPM78" s="278" t="inlineStr"/>
      <c r="TPN78" s="278" t="inlineStr"/>
      <c r="TPO78" s="278" t="inlineStr"/>
      <c r="TPP78" s="278" t="inlineStr"/>
      <c r="TPQ78" s="278" t="inlineStr"/>
      <c r="TPR78" s="278" t="inlineStr"/>
      <c r="TPS78" s="278" t="inlineStr"/>
      <c r="TPT78" s="278" t="inlineStr"/>
      <c r="TPU78" s="278" t="inlineStr"/>
      <c r="TPV78" s="278" t="inlineStr"/>
      <c r="TPW78" s="278" t="inlineStr"/>
      <c r="TPX78" s="278" t="inlineStr"/>
      <c r="TPY78" s="278" t="inlineStr"/>
      <c r="TPZ78" s="278" t="inlineStr"/>
      <c r="TQA78" s="278" t="inlineStr"/>
      <c r="TQB78" s="278" t="inlineStr"/>
      <c r="TQC78" s="278" t="inlineStr"/>
      <c r="TQD78" s="278" t="inlineStr"/>
      <c r="TQE78" s="278" t="inlineStr"/>
      <c r="TQF78" s="278" t="inlineStr"/>
      <c r="TQG78" s="278" t="inlineStr"/>
      <c r="TQH78" s="278" t="inlineStr"/>
      <c r="TQI78" s="278" t="inlineStr"/>
      <c r="TQJ78" s="278" t="inlineStr"/>
      <c r="TQK78" s="278" t="inlineStr"/>
      <c r="TQL78" s="278" t="inlineStr"/>
      <c r="TQM78" s="278" t="inlineStr"/>
      <c r="TQN78" s="278" t="inlineStr"/>
      <c r="TQO78" s="278" t="inlineStr"/>
      <c r="TQP78" s="278" t="inlineStr"/>
      <c r="TQQ78" s="278" t="inlineStr"/>
      <c r="TQR78" s="278" t="inlineStr"/>
      <c r="TQS78" s="278" t="inlineStr"/>
      <c r="TQT78" s="278" t="inlineStr"/>
      <c r="TQU78" s="278" t="inlineStr"/>
      <c r="TQV78" s="278" t="inlineStr"/>
      <c r="TQW78" s="278" t="inlineStr"/>
      <c r="TQX78" s="278" t="inlineStr"/>
      <c r="TQY78" s="278" t="inlineStr"/>
      <c r="TQZ78" s="278" t="inlineStr"/>
      <c r="TRA78" s="278" t="inlineStr"/>
      <c r="TRB78" s="278" t="inlineStr"/>
      <c r="TRC78" s="278" t="inlineStr"/>
      <c r="TRD78" s="278" t="inlineStr"/>
      <c r="TRE78" s="278" t="inlineStr"/>
      <c r="TRF78" s="278" t="inlineStr"/>
      <c r="TRG78" s="278" t="inlineStr"/>
      <c r="TRH78" s="278" t="inlineStr"/>
      <c r="TRI78" s="278" t="inlineStr"/>
      <c r="TRJ78" s="278" t="inlineStr"/>
      <c r="TRK78" s="278" t="inlineStr"/>
      <c r="TRL78" s="278" t="inlineStr"/>
      <c r="TRM78" s="278" t="inlineStr"/>
      <c r="TRN78" s="278" t="inlineStr"/>
      <c r="TRO78" s="278" t="inlineStr"/>
      <c r="TRP78" s="278" t="inlineStr"/>
      <c r="TRQ78" s="278" t="inlineStr"/>
      <c r="TRR78" s="278" t="inlineStr"/>
      <c r="TRS78" s="278" t="inlineStr"/>
      <c r="TRT78" s="278" t="inlineStr"/>
      <c r="TRU78" s="278" t="inlineStr"/>
      <c r="TRV78" s="278" t="inlineStr"/>
      <c r="TRW78" s="278" t="inlineStr"/>
      <c r="TRX78" s="278" t="inlineStr"/>
      <c r="TRY78" s="278" t="inlineStr"/>
      <c r="TRZ78" s="278" t="inlineStr"/>
      <c r="TSA78" s="278" t="inlineStr"/>
      <c r="TSB78" s="278" t="inlineStr"/>
      <c r="TSC78" s="278" t="inlineStr"/>
      <c r="TSD78" s="278" t="inlineStr"/>
      <c r="TSE78" s="278" t="inlineStr"/>
      <c r="TSF78" s="278" t="inlineStr"/>
      <c r="TSG78" s="278" t="inlineStr"/>
      <c r="TSH78" s="278" t="inlineStr"/>
      <c r="TSI78" s="278" t="inlineStr"/>
      <c r="TSJ78" s="278" t="inlineStr"/>
      <c r="TSK78" s="278" t="inlineStr"/>
      <c r="TSL78" s="278" t="inlineStr"/>
      <c r="TSM78" s="278" t="inlineStr"/>
      <c r="TSN78" s="278" t="inlineStr"/>
      <c r="TSO78" s="278" t="inlineStr"/>
      <c r="TSP78" s="278" t="inlineStr"/>
      <c r="TSQ78" s="278" t="inlineStr"/>
      <c r="TSR78" s="278" t="inlineStr"/>
      <c r="TSS78" s="278" t="inlineStr"/>
      <c r="TST78" s="278" t="inlineStr"/>
      <c r="TSU78" s="278" t="inlineStr"/>
      <c r="TSV78" s="278" t="inlineStr"/>
      <c r="TSW78" s="278" t="inlineStr"/>
      <c r="TSX78" s="278" t="inlineStr"/>
      <c r="TSY78" s="278" t="inlineStr"/>
      <c r="TSZ78" s="278" t="inlineStr"/>
      <c r="TTA78" s="278" t="inlineStr"/>
      <c r="TTB78" s="278" t="inlineStr"/>
      <c r="TTC78" s="278" t="inlineStr"/>
      <c r="TTD78" s="278" t="inlineStr"/>
      <c r="TTE78" s="278" t="inlineStr"/>
      <c r="TTF78" s="278" t="inlineStr"/>
      <c r="TTG78" s="278" t="inlineStr"/>
      <c r="TTH78" s="278" t="inlineStr"/>
      <c r="TTI78" s="278" t="inlineStr"/>
      <c r="TTJ78" s="278" t="inlineStr"/>
      <c r="TTK78" s="278" t="inlineStr"/>
      <c r="TTL78" s="278" t="inlineStr"/>
      <c r="TTM78" s="278" t="inlineStr"/>
      <c r="TTN78" s="278" t="inlineStr"/>
      <c r="TTO78" s="278" t="inlineStr"/>
      <c r="TTP78" s="278" t="inlineStr"/>
      <c r="TTQ78" s="278" t="inlineStr"/>
      <c r="TTR78" s="278" t="inlineStr"/>
      <c r="TTS78" s="278" t="inlineStr"/>
      <c r="TTT78" s="278" t="inlineStr"/>
      <c r="TTU78" s="278" t="inlineStr"/>
      <c r="TTV78" s="278" t="inlineStr"/>
      <c r="TTW78" s="278" t="inlineStr"/>
      <c r="TTX78" s="278" t="inlineStr"/>
      <c r="TTY78" s="278" t="inlineStr"/>
      <c r="TTZ78" s="278" t="inlineStr"/>
      <c r="TUA78" s="278" t="inlineStr"/>
      <c r="TUB78" s="278" t="inlineStr"/>
      <c r="TUC78" s="278" t="inlineStr"/>
      <c r="TUD78" s="278" t="inlineStr"/>
      <c r="TUE78" s="278" t="inlineStr"/>
      <c r="TUF78" s="278" t="inlineStr"/>
      <c r="TUG78" s="278" t="inlineStr"/>
      <c r="TUH78" s="278" t="inlineStr"/>
      <c r="TUI78" s="278" t="inlineStr"/>
      <c r="TUJ78" s="278" t="inlineStr"/>
      <c r="TUK78" s="278" t="inlineStr"/>
      <c r="TUL78" s="278" t="inlineStr"/>
      <c r="TUM78" s="278" t="inlineStr"/>
      <c r="TUN78" s="278" t="inlineStr"/>
      <c r="TUO78" s="278" t="inlineStr"/>
      <c r="TUP78" s="278" t="inlineStr"/>
      <c r="TUQ78" s="278" t="inlineStr"/>
      <c r="TUR78" s="278" t="inlineStr"/>
      <c r="TUS78" s="278" t="inlineStr"/>
      <c r="TUT78" s="278" t="inlineStr"/>
      <c r="TUU78" s="278" t="inlineStr"/>
      <c r="TUV78" s="278" t="inlineStr"/>
      <c r="TUW78" s="278" t="inlineStr"/>
      <c r="TUX78" s="278" t="inlineStr"/>
      <c r="TUY78" s="278" t="inlineStr"/>
      <c r="TUZ78" s="278" t="inlineStr"/>
      <c r="TVA78" s="278" t="inlineStr"/>
      <c r="TVB78" s="278" t="inlineStr"/>
      <c r="TVC78" s="278" t="inlineStr"/>
      <c r="TVD78" s="278" t="inlineStr"/>
      <c r="TVE78" s="278" t="inlineStr"/>
      <c r="TVF78" s="278" t="inlineStr"/>
      <c r="TVG78" s="278" t="inlineStr"/>
      <c r="TVH78" s="278" t="inlineStr"/>
      <c r="TVI78" s="278" t="inlineStr"/>
      <c r="TVJ78" s="278" t="inlineStr"/>
      <c r="TVK78" s="278" t="inlineStr"/>
      <c r="TVL78" s="278" t="inlineStr"/>
      <c r="TVM78" s="278" t="inlineStr"/>
      <c r="TVN78" s="278" t="inlineStr"/>
      <c r="TVO78" s="278" t="inlineStr"/>
      <c r="TVP78" s="278" t="inlineStr"/>
      <c r="TVQ78" s="278" t="inlineStr"/>
      <c r="TVR78" s="278" t="inlineStr"/>
      <c r="TVS78" s="278" t="inlineStr"/>
      <c r="TVT78" s="278" t="inlineStr"/>
      <c r="TVU78" s="278" t="inlineStr"/>
      <c r="TVV78" s="278" t="inlineStr"/>
      <c r="TVW78" s="278" t="inlineStr"/>
      <c r="TVX78" s="278" t="inlineStr"/>
      <c r="TVY78" s="278" t="inlineStr"/>
      <c r="TVZ78" s="278" t="inlineStr"/>
      <c r="TWA78" s="278" t="inlineStr"/>
      <c r="TWB78" s="278" t="inlineStr"/>
      <c r="TWC78" s="278" t="inlineStr"/>
      <c r="TWD78" s="278" t="inlineStr"/>
      <c r="TWE78" s="278" t="inlineStr"/>
      <c r="TWF78" s="278" t="inlineStr"/>
      <c r="TWG78" s="278" t="inlineStr"/>
      <c r="TWH78" s="278" t="inlineStr"/>
      <c r="TWI78" s="278" t="inlineStr"/>
      <c r="TWJ78" s="278" t="inlineStr"/>
      <c r="TWK78" s="278" t="inlineStr"/>
      <c r="TWL78" s="278" t="inlineStr"/>
      <c r="TWM78" s="278" t="inlineStr"/>
      <c r="TWN78" s="278" t="inlineStr"/>
      <c r="TWO78" s="278" t="inlineStr"/>
      <c r="TWP78" s="278" t="inlineStr"/>
      <c r="TWQ78" s="278" t="inlineStr"/>
      <c r="TWR78" s="278" t="inlineStr"/>
      <c r="TWS78" s="278" t="inlineStr"/>
      <c r="TWT78" s="278" t="inlineStr"/>
      <c r="TWU78" s="278" t="inlineStr"/>
      <c r="TWV78" s="278" t="inlineStr"/>
      <c r="TWW78" s="278" t="inlineStr"/>
      <c r="TWX78" s="278" t="inlineStr"/>
      <c r="TWY78" s="278" t="inlineStr"/>
      <c r="TWZ78" s="278" t="inlineStr"/>
      <c r="TXA78" s="278" t="inlineStr"/>
      <c r="TXB78" s="278" t="inlineStr"/>
      <c r="TXC78" s="278" t="inlineStr"/>
      <c r="TXD78" s="278" t="inlineStr"/>
      <c r="TXE78" s="278" t="inlineStr"/>
      <c r="TXF78" s="278" t="inlineStr"/>
      <c r="TXG78" s="278" t="inlineStr"/>
      <c r="TXH78" s="278" t="inlineStr"/>
      <c r="TXI78" s="278" t="inlineStr"/>
      <c r="TXJ78" s="278" t="inlineStr"/>
      <c r="TXK78" s="278" t="inlineStr"/>
      <c r="TXL78" s="278" t="inlineStr"/>
      <c r="TXM78" s="278" t="inlineStr"/>
      <c r="TXN78" s="278" t="inlineStr"/>
      <c r="TXO78" s="278" t="inlineStr"/>
      <c r="TXP78" s="278" t="inlineStr"/>
      <c r="TXQ78" s="278" t="inlineStr"/>
      <c r="TXR78" s="278" t="inlineStr"/>
      <c r="TXS78" s="278" t="inlineStr"/>
      <c r="TXT78" s="278" t="inlineStr"/>
      <c r="TXU78" s="278" t="inlineStr"/>
      <c r="TXV78" s="278" t="inlineStr"/>
      <c r="TXW78" s="278" t="inlineStr"/>
      <c r="TXX78" s="278" t="inlineStr"/>
      <c r="TXY78" s="278" t="inlineStr"/>
      <c r="TXZ78" s="278" t="inlineStr"/>
      <c r="TYA78" s="278" t="inlineStr"/>
      <c r="TYB78" s="278" t="inlineStr"/>
      <c r="TYC78" s="278" t="inlineStr"/>
      <c r="TYD78" s="278" t="inlineStr"/>
      <c r="TYE78" s="278" t="inlineStr"/>
      <c r="TYF78" s="278" t="inlineStr"/>
      <c r="TYG78" s="278" t="inlineStr"/>
      <c r="TYH78" s="278" t="inlineStr"/>
      <c r="TYI78" s="278" t="inlineStr"/>
      <c r="TYJ78" s="278" t="inlineStr"/>
      <c r="TYK78" s="278" t="inlineStr"/>
      <c r="TYL78" s="278" t="inlineStr"/>
      <c r="TYM78" s="278" t="inlineStr"/>
      <c r="TYN78" s="278" t="inlineStr"/>
      <c r="TYO78" s="278" t="inlineStr"/>
      <c r="TYP78" s="278" t="inlineStr"/>
      <c r="TYQ78" s="278" t="inlineStr"/>
      <c r="TYR78" s="278" t="inlineStr"/>
      <c r="TYS78" s="278" t="inlineStr"/>
      <c r="TYT78" s="278" t="inlineStr"/>
      <c r="TYU78" s="278" t="inlineStr"/>
      <c r="TYV78" s="278" t="inlineStr"/>
      <c r="TYW78" s="278" t="inlineStr"/>
      <c r="TYX78" s="278" t="inlineStr"/>
      <c r="TYY78" s="278" t="inlineStr"/>
      <c r="TYZ78" s="278" t="inlineStr"/>
      <c r="TZA78" s="278" t="inlineStr"/>
      <c r="TZB78" s="278" t="inlineStr"/>
      <c r="TZC78" s="278" t="inlineStr"/>
      <c r="TZD78" s="278" t="inlineStr"/>
      <c r="TZE78" s="278" t="inlineStr"/>
      <c r="TZF78" s="278" t="inlineStr"/>
      <c r="TZG78" s="278" t="inlineStr"/>
      <c r="TZH78" s="278" t="inlineStr"/>
      <c r="TZI78" s="278" t="inlineStr"/>
      <c r="TZJ78" s="278" t="inlineStr"/>
      <c r="TZK78" s="278" t="inlineStr"/>
      <c r="TZL78" s="278" t="inlineStr"/>
      <c r="TZM78" s="278" t="inlineStr"/>
      <c r="TZN78" s="278" t="inlineStr"/>
      <c r="TZO78" s="278" t="inlineStr"/>
      <c r="TZP78" s="278" t="inlineStr"/>
      <c r="TZQ78" s="278" t="inlineStr"/>
      <c r="TZR78" s="278" t="inlineStr"/>
      <c r="TZS78" s="278" t="inlineStr"/>
      <c r="TZT78" s="278" t="inlineStr"/>
      <c r="TZU78" s="278" t="inlineStr"/>
      <c r="TZV78" s="278" t="inlineStr"/>
      <c r="TZW78" s="278" t="inlineStr"/>
      <c r="TZX78" s="278" t="inlineStr"/>
      <c r="TZY78" s="278" t="inlineStr"/>
      <c r="TZZ78" s="278" t="inlineStr"/>
      <c r="UAA78" s="278" t="inlineStr"/>
      <c r="UAB78" s="278" t="inlineStr"/>
      <c r="UAC78" s="278" t="inlineStr"/>
      <c r="UAD78" s="278" t="inlineStr"/>
      <c r="UAE78" s="278" t="inlineStr"/>
      <c r="UAF78" s="278" t="inlineStr"/>
      <c r="UAG78" s="278" t="inlineStr"/>
      <c r="UAH78" s="278" t="inlineStr"/>
      <c r="UAI78" s="278" t="inlineStr"/>
      <c r="UAJ78" s="278" t="inlineStr"/>
      <c r="UAK78" s="278" t="inlineStr"/>
      <c r="UAL78" s="278" t="inlineStr"/>
      <c r="UAM78" s="278" t="inlineStr"/>
      <c r="UAN78" s="278" t="inlineStr"/>
      <c r="UAO78" s="278" t="inlineStr"/>
      <c r="UAP78" s="278" t="inlineStr"/>
      <c r="UAQ78" s="278" t="inlineStr"/>
      <c r="UAR78" s="278" t="inlineStr"/>
      <c r="UAS78" s="278" t="inlineStr"/>
      <c r="UAT78" s="278" t="inlineStr"/>
      <c r="UAU78" s="278" t="inlineStr"/>
      <c r="UAV78" s="278" t="inlineStr"/>
      <c r="UAW78" s="278" t="inlineStr"/>
      <c r="UAX78" s="278" t="inlineStr"/>
      <c r="UAY78" s="278" t="inlineStr"/>
      <c r="UAZ78" s="278" t="inlineStr"/>
      <c r="UBA78" s="278" t="inlineStr"/>
      <c r="UBB78" s="278" t="inlineStr"/>
      <c r="UBC78" s="278" t="inlineStr"/>
      <c r="UBD78" s="278" t="inlineStr"/>
      <c r="UBE78" s="278" t="inlineStr"/>
      <c r="UBF78" s="278" t="inlineStr"/>
      <c r="UBG78" s="278" t="inlineStr"/>
      <c r="UBH78" s="278" t="inlineStr"/>
      <c r="UBI78" s="278" t="inlineStr"/>
      <c r="UBJ78" s="278" t="inlineStr"/>
      <c r="UBK78" s="278" t="inlineStr"/>
      <c r="UBL78" s="278" t="inlineStr"/>
      <c r="UBM78" s="278" t="inlineStr"/>
      <c r="UBN78" s="278" t="inlineStr"/>
      <c r="UBO78" s="278" t="inlineStr"/>
      <c r="UBP78" s="278" t="inlineStr"/>
      <c r="UBQ78" s="278" t="inlineStr"/>
      <c r="UBR78" s="278" t="inlineStr"/>
      <c r="UBS78" s="278" t="inlineStr"/>
      <c r="UBT78" s="278" t="inlineStr"/>
      <c r="UBU78" s="278" t="inlineStr"/>
      <c r="UBV78" s="278" t="inlineStr"/>
      <c r="UBW78" s="278" t="inlineStr"/>
      <c r="UBX78" s="278" t="inlineStr"/>
      <c r="UBY78" s="278" t="inlineStr"/>
      <c r="UBZ78" s="278" t="inlineStr"/>
      <c r="UCA78" s="278" t="inlineStr"/>
      <c r="UCB78" s="278" t="inlineStr"/>
      <c r="UCC78" s="278" t="inlineStr"/>
      <c r="UCD78" s="278" t="inlineStr"/>
      <c r="UCE78" s="278" t="inlineStr"/>
      <c r="UCF78" s="278" t="inlineStr"/>
      <c r="UCG78" s="278" t="inlineStr"/>
      <c r="UCH78" s="278" t="inlineStr"/>
      <c r="UCI78" s="278" t="inlineStr"/>
      <c r="UCJ78" s="278" t="inlineStr"/>
      <c r="UCK78" s="278" t="inlineStr"/>
      <c r="UCL78" s="278" t="inlineStr"/>
      <c r="UCM78" s="278" t="inlineStr"/>
      <c r="UCN78" s="278" t="inlineStr"/>
      <c r="UCO78" s="278" t="inlineStr"/>
      <c r="UCP78" s="278" t="inlineStr"/>
      <c r="UCQ78" s="278" t="inlineStr"/>
      <c r="UCR78" s="278" t="inlineStr"/>
      <c r="UCS78" s="278" t="inlineStr"/>
      <c r="UCT78" s="278" t="inlineStr"/>
      <c r="UCU78" s="278" t="inlineStr"/>
      <c r="UCV78" s="278" t="inlineStr"/>
      <c r="UCW78" s="278" t="inlineStr"/>
      <c r="UCX78" s="278" t="inlineStr"/>
      <c r="UCY78" s="278" t="inlineStr"/>
      <c r="UCZ78" s="278" t="inlineStr"/>
      <c r="UDA78" s="278" t="inlineStr"/>
      <c r="UDB78" s="278" t="inlineStr"/>
      <c r="UDC78" s="278" t="inlineStr"/>
      <c r="UDD78" s="278" t="inlineStr"/>
      <c r="UDE78" s="278" t="inlineStr"/>
      <c r="UDF78" s="278" t="inlineStr"/>
      <c r="UDG78" s="278" t="inlineStr"/>
      <c r="UDH78" s="278" t="inlineStr"/>
      <c r="UDI78" s="278" t="inlineStr"/>
      <c r="UDJ78" s="278" t="inlineStr"/>
      <c r="UDK78" s="278" t="inlineStr"/>
      <c r="UDL78" s="278" t="inlineStr"/>
      <c r="UDM78" s="278" t="inlineStr"/>
      <c r="UDN78" s="278" t="inlineStr"/>
      <c r="UDO78" s="278" t="inlineStr"/>
      <c r="UDP78" s="278" t="inlineStr"/>
      <c r="UDQ78" s="278" t="inlineStr"/>
      <c r="UDR78" s="278" t="inlineStr"/>
      <c r="UDS78" s="278" t="inlineStr"/>
      <c r="UDT78" s="278" t="inlineStr"/>
      <c r="UDU78" s="278" t="inlineStr"/>
      <c r="UDV78" s="278" t="inlineStr"/>
      <c r="UDW78" s="278" t="inlineStr"/>
      <c r="UDX78" s="278" t="inlineStr"/>
      <c r="UDY78" s="278" t="inlineStr"/>
      <c r="UDZ78" s="278" t="inlineStr"/>
      <c r="UEA78" s="278" t="inlineStr"/>
      <c r="UEB78" s="278" t="inlineStr"/>
      <c r="UEC78" s="278" t="inlineStr"/>
      <c r="UED78" s="278" t="inlineStr"/>
      <c r="UEE78" s="278" t="inlineStr"/>
      <c r="UEF78" s="278" t="inlineStr"/>
      <c r="UEG78" s="278" t="inlineStr"/>
      <c r="UEH78" s="278" t="inlineStr"/>
      <c r="UEI78" s="278" t="inlineStr"/>
      <c r="UEJ78" s="278" t="inlineStr"/>
      <c r="UEK78" s="278" t="inlineStr"/>
      <c r="UEL78" s="278" t="inlineStr"/>
      <c r="UEM78" s="278" t="inlineStr"/>
      <c r="UEN78" s="278" t="inlineStr"/>
      <c r="UEO78" s="278" t="inlineStr"/>
      <c r="UEP78" s="278" t="inlineStr"/>
      <c r="UEQ78" s="278" t="inlineStr"/>
      <c r="UER78" s="278" t="inlineStr"/>
      <c r="UES78" s="278" t="inlineStr"/>
      <c r="UET78" s="278" t="inlineStr"/>
      <c r="UEU78" s="278" t="inlineStr"/>
      <c r="UEV78" s="278" t="inlineStr"/>
      <c r="UEW78" s="278" t="inlineStr"/>
      <c r="UEX78" s="278" t="inlineStr"/>
      <c r="UEY78" s="278" t="inlineStr"/>
      <c r="UEZ78" s="278" t="inlineStr"/>
      <c r="UFA78" s="278" t="inlineStr"/>
      <c r="UFB78" s="278" t="inlineStr"/>
      <c r="UFC78" s="278" t="inlineStr"/>
      <c r="UFD78" s="278" t="inlineStr"/>
      <c r="UFE78" s="278" t="inlineStr"/>
      <c r="UFF78" s="278" t="inlineStr"/>
      <c r="UFG78" s="278" t="inlineStr"/>
      <c r="UFH78" s="278" t="inlineStr"/>
      <c r="UFI78" s="278" t="inlineStr"/>
      <c r="UFJ78" s="278" t="inlineStr"/>
      <c r="UFK78" s="278" t="inlineStr"/>
      <c r="UFL78" s="278" t="inlineStr"/>
      <c r="UFM78" s="278" t="inlineStr"/>
      <c r="UFN78" s="278" t="inlineStr"/>
      <c r="UFO78" s="278" t="inlineStr"/>
      <c r="UFP78" s="278" t="inlineStr"/>
      <c r="UFQ78" s="278" t="inlineStr"/>
      <c r="UFR78" s="278" t="inlineStr"/>
      <c r="UFS78" s="278" t="inlineStr"/>
      <c r="UFT78" s="278" t="inlineStr"/>
      <c r="UFU78" s="278" t="inlineStr"/>
      <c r="UFV78" s="278" t="inlineStr"/>
      <c r="UFW78" s="278" t="inlineStr"/>
      <c r="UFX78" s="278" t="inlineStr"/>
      <c r="UFY78" s="278" t="inlineStr"/>
      <c r="UFZ78" s="278" t="inlineStr"/>
      <c r="UGA78" s="278" t="inlineStr"/>
      <c r="UGB78" s="278" t="inlineStr"/>
      <c r="UGC78" s="278" t="inlineStr"/>
      <c r="UGD78" s="278" t="inlineStr"/>
      <c r="UGE78" s="278" t="inlineStr"/>
      <c r="UGF78" s="278" t="inlineStr"/>
      <c r="UGG78" s="278" t="inlineStr"/>
      <c r="UGH78" s="278" t="inlineStr"/>
      <c r="UGI78" s="278" t="inlineStr"/>
      <c r="UGJ78" s="278" t="inlineStr"/>
      <c r="UGK78" s="278" t="inlineStr"/>
      <c r="UGL78" s="278" t="inlineStr"/>
      <c r="UGM78" s="278" t="inlineStr"/>
      <c r="UGN78" s="278" t="inlineStr"/>
      <c r="UGO78" s="278" t="inlineStr"/>
      <c r="UGP78" s="278" t="inlineStr"/>
      <c r="UGQ78" s="278" t="inlineStr"/>
      <c r="UGR78" s="278" t="inlineStr"/>
      <c r="UGS78" s="278" t="inlineStr"/>
      <c r="UGT78" s="278" t="inlineStr"/>
      <c r="UGU78" s="278" t="inlineStr"/>
      <c r="UGV78" s="278" t="inlineStr"/>
      <c r="UGW78" s="278" t="inlineStr"/>
      <c r="UGX78" s="278" t="inlineStr"/>
      <c r="UGY78" s="278" t="inlineStr"/>
      <c r="UGZ78" s="278" t="inlineStr"/>
      <c r="UHA78" s="278" t="inlineStr"/>
      <c r="UHB78" s="278" t="inlineStr"/>
      <c r="UHC78" s="278" t="inlineStr"/>
      <c r="UHD78" s="278" t="inlineStr"/>
      <c r="UHE78" s="278" t="inlineStr"/>
      <c r="UHF78" s="278" t="inlineStr"/>
      <c r="UHG78" s="278" t="inlineStr"/>
      <c r="UHH78" s="278" t="inlineStr"/>
      <c r="UHI78" s="278" t="inlineStr"/>
      <c r="UHJ78" s="278" t="inlineStr"/>
      <c r="UHK78" s="278" t="inlineStr"/>
      <c r="UHL78" s="278" t="inlineStr"/>
      <c r="UHM78" s="278" t="inlineStr"/>
      <c r="UHN78" s="278" t="inlineStr"/>
      <c r="UHO78" s="278" t="inlineStr"/>
      <c r="UHP78" s="278" t="inlineStr"/>
      <c r="UHQ78" s="278" t="inlineStr"/>
      <c r="UHR78" s="278" t="inlineStr"/>
      <c r="UHS78" s="278" t="inlineStr"/>
      <c r="UHT78" s="278" t="inlineStr"/>
      <c r="UHU78" s="278" t="inlineStr"/>
      <c r="UHV78" s="278" t="inlineStr"/>
      <c r="UHW78" s="278" t="inlineStr"/>
      <c r="UHX78" s="278" t="inlineStr"/>
      <c r="UHY78" s="278" t="inlineStr"/>
      <c r="UHZ78" s="278" t="inlineStr"/>
      <c r="UIA78" s="278" t="inlineStr"/>
      <c r="UIB78" s="278" t="inlineStr"/>
      <c r="UIC78" s="278" t="inlineStr"/>
      <c r="UID78" s="278" t="inlineStr"/>
      <c r="UIE78" s="278" t="inlineStr"/>
      <c r="UIF78" s="278" t="inlineStr"/>
      <c r="UIG78" s="278" t="inlineStr"/>
      <c r="UIH78" s="278" t="inlineStr"/>
      <c r="UII78" s="278" t="inlineStr"/>
      <c r="UIJ78" s="278" t="inlineStr"/>
      <c r="UIK78" s="278" t="inlineStr"/>
      <c r="UIL78" s="278" t="inlineStr"/>
      <c r="UIM78" s="278" t="inlineStr"/>
      <c r="UIN78" s="278" t="inlineStr"/>
      <c r="UIO78" s="278" t="inlineStr"/>
      <c r="UIP78" s="278" t="inlineStr"/>
      <c r="UIQ78" s="278" t="inlineStr"/>
      <c r="UIR78" s="278" t="inlineStr"/>
      <c r="UIS78" s="278" t="inlineStr"/>
      <c r="UIT78" s="278" t="inlineStr"/>
      <c r="UIU78" s="278" t="inlineStr"/>
      <c r="UIV78" s="278" t="inlineStr"/>
      <c r="UIW78" s="278" t="inlineStr"/>
      <c r="UIX78" s="278" t="inlineStr"/>
      <c r="UIY78" s="278" t="inlineStr"/>
      <c r="UIZ78" s="278" t="inlineStr"/>
      <c r="UJA78" s="278" t="inlineStr"/>
      <c r="UJB78" s="278" t="inlineStr"/>
      <c r="UJC78" s="278" t="inlineStr"/>
      <c r="UJD78" s="278" t="inlineStr"/>
      <c r="UJE78" s="278" t="inlineStr"/>
      <c r="UJF78" s="278" t="inlineStr"/>
      <c r="UJG78" s="278" t="inlineStr"/>
      <c r="UJH78" s="278" t="inlineStr"/>
      <c r="UJI78" s="278" t="inlineStr"/>
      <c r="UJJ78" s="278" t="inlineStr"/>
      <c r="UJK78" s="278" t="inlineStr"/>
      <c r="UJL78" s="278" t="inlineStr"/>
      <c r="UJM78" s="278" t="inlineStr"/>
      <c r="UJN78" s="278" t="inlineStr"/>
      <c r="UJO78" s="278" t="inlineStr"/>
      <c r="UJP78" s="278" t="inlineStr"/>
      <c r="UJQ78" s="278" t="inlineStr"/>
      <c r="UJR78" s="278" t="inlineStr"/>
      <c r="UJS78" s="278" t="inlineStr"/>
      <c r="UJT78" s="278" t="inlineStr"/>
      <c r="UJU78" s="278" t="inlineStr"/>
      <c r="UJV78" s="278" t="inlineStr"/>
      <c r="UJW78" s="278" t="inlineStr"/>
      <c r="UJX78" s="278" t="inlineStr"/>
      <c r="UJY78" s="278" t="inlineStr"/>
      <c r="UJZ78" s="278" t="inlineStr"/>
      <c r="UKA78" s="278" t="inlineStr"/>
      <c r="UKB78" s="278" t="inlineStr"/>
      <c r="UKC78" s="278" t="inlineStr"/>
      <c r="UKD78" s="278" t="inlineStr"/>
      <c r="UKE78" s="278" t="inlineStr"/>
      <c r="UKF78" s="278" t="inlineStr"/>
      <c r="UKG78" s="278" t="inlineStr"/>
      <c r="UKH78" s="278" t="inlineStr"/>
      <c r="UKI78" s="278" t="inlineStr"/>
      <c r="UKJ78" s="278" t="inlineStr"/>
      <c r="UKK78" s="278" t="inlineStr"/>
      <c r="UKL78" s="278" t="inlineStr"/>
      <c r="UKM78" s="278" t="inlineStr"/>
      <c r="UKN78" s="278" t="inlineStr"/>
      <c r="UKO78" s="278" t="inlineStr"/>
      <c r="UKP78" s="278" t="inlineStr"/>
      <c r="UKQ78" s="278" t="inlineStr"/>
      <c r="UKR78" s="278" t="inlineStr"/>
      <c r="UKS78" s="278" t="inlineStr"/>
      <c r="UKT78" s="278" t="inlineStr"/>
      <c r="UKU78" s="278" t="inlineStr"/>
      <c r="UKV78" s="278" t="inlineStr"/>
      <c r="UKW78" s="278" t="inlineStr"/>
      <c r="UKX78" s="278" t="inlineStr"/>
      <c r="UKY78" s="278" t="inlineStr"/>
      <c r="UKZ78" s="278" t="inlineStr"/>
      <c r="ULA78" s="278" t="inlineStr"/>
      <c r="ULB78" s="278" t="inlineStr"/>
      <c r="ULC78" s="278" t="inlineStr"/>
      <c r="ULD78" s="278" t="inlineStr"/>
      <c r="ULE78" s="278" t="inlineStr"/>
      <c r="ULF78" s="278" t="inlineStr"/>
      <c r="ULG78" s="278" t="inlineStr"/>
      <c r="ULH78" s="278" t="inlineStr"/>
      <c r="ULI78" s="278" t="inlineStr"/>
      <c r="ULJ78" s="278" t="inlineStr"/>
      <c r="ULK78" s="278" t="inlineStr"/>
      <c r="ULL78" s="278" t="inlineStr"/>
      <c r="ULM78" s="278" t="inlineStr"/>
      <c r="ULN78" s="278" t="inlineStr"/>
      <c r="ULO78" s="278" t="inlineStr"/>
      <c r="ULP78" s="278" t="inlineStr"/>
      <c r="ULQ78" s="278" t="inlineStr"/>
      <c r="ULR78" s="278" t="inlineStr"/>
      <c r="ULS78" s="278" t="inlineStr"/>
      <c r="ULT78" s="278" t="inlineStr"/>
      <c r="ULU78" s="278" t="inlineStr"/>
      <c r="ULV78" s="278" t="inlineStr"/>
      <c r="ULW78" s="278" t="inlineStr"/>
      <c r="ULX78" s="278" t="inlineStr"/>
      <c r="ULY78" s="278" t="inlineStr"/>
      <c r="ULZ78" s="278" t="inlineStr"/>
      <c r="UMA78" s="278" t="inlineStr"/>
      <c r="UMB78" s="278" t="inlineStr"/>
      <c r="UMC78" s="278" t="inlineStr"/>
      <c r="UMD78" s="278" t="inlineStr"/>
      <c r="UME78" s="278" t="inlineStr"/>
      <c r="UMF78" s="278" t="inlineStr"/>
      <c r="UMG78" s="278" t="inlineStr"/>
      <c r="UMH78" s="278" t="inlineStr"/>
      <c r="UMI78" s="278" t="inlineStr"/>
      <c r="UMJ78" s="278" t="inlineStr"/>
      <c r="UMK78" s="278" t="inlineStr"/>
      <c r="UML78" s="278" t="inlineStr"/>
      <c r="UMM78" s="278" t="inlineStr"/>
      <c r="UMN78" s="278" t="inlineStr"/>
      <c r="UMO78" s="278" t="inlineStr"/>
      <c r="UMP78" s="278" t="inlineStr"/>
      <c r="UMQ78" s="278" t="inlineStr"/>
      <c r="UMR78" s="278" t="inlineStr"/>
      <c r="UMS78" s="278" t="inlineStr"/>
      <c r="UMT78" s="278" t="inlineStr"/>
      <c r="UMU78" s="278" t="inlineStr"/>
      <c r="UMV78" s="278" t="inlineStr"/>
      <c r="UMW78" s="278" t="inlineStr"/>
      <c r="UMX78" s="278" t="inlineStr"/>
      <c r="UMY78" s="278" t="inlineStr"/>
      <c r="UMZ78" s="278" t="inlineStr"/>
      <c r="UNA78" s="278" t="inlineStr"/>
      <c r="UNB78" s="278" t="inlineStr"/>
      <c r="UNC78" s="278" t="inlineStr"/>
      <c r="UND78" s="278" t="inlineStr"/>
      <c r="UNE78" s="278" t="inlineStr"/>
      <c r="UNF78" s="278" t="inlineStr"/>
      <c r="UNG78" s="278" t="inlineStr"/>
      <c r="UNH78" s="278" t="inlineStr"/>
      <c r="UNI78" s="278" t="inlineStr"/>
      <c r="UNJ78" s="278" t="inlineStr"/>
      <c r="UNK78" s="278" t="inlineStr"/>
      <c r="UNL78" s="278" t="inlineStr"/>
      <c r="UNM78" s="278" t="inlineStr"/>
      <c r="UNN78" s="278" t="inlineStr"/>
      <c r="UNO78" s="278" t="inlineStr"/>
      <c r="UNP78" s="278" t="inlineStr"/>
      <c r="UNQ78" s="278" t="inlineStr"/>
      <c r="UNR78" s="278" t="inlineStr"/>
      <c r="UNS78" s="278" t="inlineStr"/>
      <c r="UNT78" s="278" t="inlineStr"/>
      <c r="UNU78" s="278" t="inlineStr"/>
      <c r="UNV78" s="278" t="inlineStr"/>
      <c r="UNW78" s="278" t="inlineStr"/>
      <c r="UNX78" s="278" t="inlineStr"/>
      <c r="UNY78" s="278" t="inlineStr"/>
      <c r="UNZ78" s="278" t="inlineStr"/>
      <c r="UOA78" s="278" t="inlineStr"/>
      <c r="UOB78" s="278" t="inlineStr"/>
      <c r="UOC78" s="278" t="inlineStr"/>
      <c r="UOD78" s="278" t="inlineStr"/>
      <c r="UOE78" s="278" t="inlineStr"/>
      <c r="UOF78" s="278" t="inlineStr"/>
      <c r="UOG78" s="278" t="inlineStr"/>
      <c r="UOH78" s="278" t="inlineStr"/>
      <c r="UOI78" s="278" t="inlineStr"/>
      <c r="UOJ78" s="278" t="inlineStr"/>
      <c r="UOK78" s="278" t="inlineStr"/>
      <c r="UOL78" s="278" t="inlineStr"/>
      <c r="UOM78" s="278" t="inlineStr"/>
      <c r="UON78" s="278" t="inlineStr"/>
      <c r="UOO78" s="278" t="inlineStr"/>
      <c r="UOP78" s="278" t="inlineStr"/>
      <c r="UOQ78" s="278" t="inlineStr"/>
      <c r="UOR78" s="278" t="inlineStr"/>
      <c r="UOS78" s="278" t="inlineStr"/>
      <c r="UOT78" s="278" t="inlineStr"/>
      <c r="UOU78" s="278" t="inlineStr"/>
      <c r="UOV78" s="278" t="inlineStr"/>
      <c r="UOW78" s="278" t="inlineStr"/>
      <c r="UOX78" s="278" t="inlineStr"/>
      <c r="UOY78" s="278" t="inlineStr"/>
      <c r="UOZ78" s="278" t="inlineStr"/>
      <c r="UPA78" s="278" t="inlineStr"/>
      <c r="UPB78" s="278" t="inlineStr"/>
      <c r="UPC78" s="278" t="inlineStr"/>
      <c r="UPD78" s="278" t="inlineStr"/>
      <c r="UPE78" s="278" t="inlineStr"/>
      <c r="UPF78" s="278" t="inlineStr"/>
      <c r="UPG78" s="278" t="inlineStr"/>
      <c r="UPH78" s="278" t="inlineStr"/>
      <c r="UPI78" s="278" t="inlineStr"/>
      <c r="UPJ78" s="278" t="inlineStr"/>
      <c r="UPK78" s="278" t="inlineStr"/>
      <c r="UPL78" s="278" t="inlineStr"/>
      <c r="UPM78" s="278" t="inlineStr"/>
      <c r="UPN78" s="278" t="inlineStr"/>
      <c r="UPO78" s="278" t="inlineStr"/>
      <c r="UPP78" s="278" t="inlineStr"/>
      <c r="UPQ78" s="278" t="inlineStr"/>
      <c r="UPR78" s="278" t="inlineStr"/>
      <c r="UPS78" s="278" t="inlineStr"/>
      <c r="UPT78" s="278" t="inlineStr"/>
      <c r="UPU78" s="278" t="inlineStr"/>
      <c r="UPV78" s="278" t="inlineStr"/>
      <c r="UPW78" s="278" t="inlineStr"/>
      <c r="UPX78" s="278" t="inlineStr"/>
      <c r="UPY78" s="278" t="inlineStr"/>
      <c r="UPZ78" s="278" t="inlineStr"/>
      <c r="UQA78" s="278" t="inlineStr"/>
      <c r="UQB78" s="278" t="inlineStr"/>
      <c r="UQC78" s="278" t="inlineStr"/>
      <c r="UQD78" s="278" t="inlineStr"/>
      <c r="UQE78" s="278" t="inlineStr"/>
      <c r="UQF78" s="278" t="inlineStr"/>
      <c r="UQG78" s="278" t="inlineStr"/>
      <c r="UQH78" s="278" t="inlineStr"/>
      <c r="UQI78" s="278" t="inlineStr"/>
      <c r="UQJ78" s="278" t="inlineStr"/>
      <c r="UQK78" s="278" t="inlineStr"/>
      <c r="UQL78" s="278" t="inlineStr"/>
      <c r="UQM78" s="278" t="inlineStr"/>
      <c r="UQN78" s="278" t="inlineStr"/>
      <c r="UQO78" s="278" t="inlineStr"/>
      <c r="UQP78" s="278" t="inlineStr"/>
      <c r="UQQ78" s="278" t="inlineStr"/>
      <c r="UQR78" s="278" t="inlineStr"/>
      <c r="UQS78" s="278" t="inlineStr"/>
      <c r="UQT78" s="278" t="inlineStr"/>
      <c r="UQU78" s="278" t="inlineStr"/>
      <c r="UQV78" s="278" t="inlineStr"/>
      <c r="UQW78" s="278" t="inlineStr"/>
      <c r="UQX78" s="278" t="inlineStr"/>
      <c r="UQY78" s="278" t="inlineStr"/>
      <c r="UQZ78" s="278" t="inlineStr"/>
      <c r="URA78" s="278" t="inlineStr"/>
      <c r="URB78" s="278" t="inlineStr"/>
      <c r="URC78" s="278" t="inlineStr"/>
      <c r="URD78" s="278" t="inlineStr"/>
      <c r="URE78" s="278" t="inlineStr"/>
      <c r="URF78" s="278" t="inlineStr"/>
      <c r="URG78" s="278" t="inlineStr"/>
      <c r="URH78" s="278" t="inlineStr"/>
      <c r="URI78" s="278" t="inlineStr"/>
      <c r="URJ78" s="278" t="inlineStr"/>
      <c r="URK78" s="278" t="inlineStr"/>
      <c r="URL78" s="278" t="inlineStr"/>
      <c r="URM78" s="278" t="inlineStr"/>
      <c r="URN78" s="278" t="inlineStr"/>
      <c r="URO78" s="278" t="inlineStr"/>
      <c r="URP78" s="278" t="inlineStr"/>
      <c r="URQ78" s="278" t="inlineStr"/>
      <c r="URR78" s="278" t="inlineStr"/>
      <c r="URS78" s="278" t="inlineStr"/>
      <c r="URT78" s="278" t="inlineStr"/>
      <c r="URU78" s="278" t="inlineStr"/>
      <c r="URV78" s="278" t="inlineStr"/>
      <c r="URW78" s="278" t="inlineStr"/>
      <c r="URX78" s="278" t="inlineStr"/>
      <c r="URY78" s="278" t="inlineStr"/>
      <c r="URZ78" s="278" t="inlineStr"/>
      <c r="USA78" s="278" t="inlineStr"/>
      <c r="USB78" s="278" t="inlineStr"/>
      <c r="USC78" s="278" t="inlineStr"/>
      <c r="USD78" s="278" t="inlineStr"/>
      <c r="USE78" s="278" t="inlineStr"/>
      <c r="USF78" s="278" t="inlineStr"/>
      <c r="USG78" s="278" t="inlineStr"/>
      <c r="USH78" s="278" t="inlineStr"/>
      <c r="USI78" s="278" t="inlineStr"/>
      <c r="USJ78" s="278" t="inlineStr"/>
      <c r="USK78" s="278" t="inlineStr"/>
      <c r="USL78" s="278" t="inlineStr"/>
      <c r="USM78" s="278" t="inlineStr"/>
      <c r="USN78" s="278" t="inlineStr"/>
      <c r="USO78" s="278" t="inlineStr"/>
      <c r="USP78" s="278" t="inlineStr"/>
      <c r="USQ78" s="278" t="inlineStr"/>
      <c r="USR78" s="278" t="inlineStr"/>
      <c r="USS78" s="278" t="inlineStr"/>
      <c r="UST78" s="278" t="inlineStr"/>
      <c r="USU78" s="278" t="inlineStr"/>
      <c r="USV78" s="278" t="inlineStr"/>
      <c r="USW78" s="278" t="inlineStr"/>
      <c r="USX78" s="278" t="inlineStr"/>
      <c r="USY78" s="278" t="inlineStr"/>
      <c r="USZ78" s="278" t="inlineStr"/>
      <c r="UTA78" s="278" t="inlineStr"/>
      <c r="UTB78" s="278" t="inlineStr"/>
      <c r="UTC78" s="278" t="inlineStr"/>
      <c r="UTD78" s="278" t="inlineStr"/>
      <c r="UTE78" s="278" t="inlineStr"/>
      <c r="UTF78" s="278" t="inlineStr"/>
      <c r="UTG78" s="278" t="inlineStr"/>
      <c r="UTH78" s="278" t="inlineStr"/>
      <c r="UTI78" s="278" t="inlineStr"/>
      <c r="UTJ78" s="278" t="inlineStr"/>
      <c r="UTK78" s="278" t="inlineStr"/>
      <c r="UTL78" s="278" t="inlineStr"/>
      <c r="UTM78" s="278" t="inlineStr"/>
      <c r="UTN78" s="278" t="inlineStr"/>
      <c r="UTO78" s="278" t="inlineStr"/>
      <c r="UTP78" s="278" t="inlineStr"/>
      <c r="UTQ78" s="278" t="inlineStr"/>
      <c r="UTR78" s="278" t="inlineStr"/>
      <c r="UTS78" s="278" t="inlineStr"/>
      <c r="UTT78" s="278" t="inlineStr"/>
      <c r="UTU78" s="278" t="inlineStr"/>
      <c r="UTV78" s="278" t="inlineStr"/>
      <c r="UTW78" s="278" t="inlineStr"/>
      <c r="UTX78" s="278" t="inlineStr"/>
      <c r="UTY78" s="278" t="inlineStr"/>
      <c r="UTZ78" s="278" t="inlineStr"/>
      <c r="UUA78" s="278" t="inlineStr"/>
      <c r="UUB78" s="278" t="inlineStr"/>
      <c r="UUC78" s="278" t="inlineStr"/>
      <c r="UUD78" s="278" t="inlineStr"/>
      <c r="UUE78" s="278" t="inlineStr"/>
      <c r="UUF78" s="278" t="inlineStr"/>
      <c r="UUG78" s="278" t="inlineStr"/>
      <c r="UUH78" s="278" t="inlineStr"/>
      <c r="UUI78" s="278" t="inlineStr"/>
      <c r="UUJ78" s="278" t="inlineStr"/>
      <c r="UUK78" s="278" t="inlineStr"/>
      <c r="UUL78" s="278" t="inlineStr"/>
      <c r="UUM78" s="278" t="inlineStr"/>
      <c r="UUN78" s="278" t="inlineStr"/>
      <c r="UUO78" s="278" t="inlineStr"/>
      <c r="UUP78" s="278" t="inlineStr"/>
      <c r="UUQ78" s="278" t="inlineStr"/>
      <c r="UUR78" s="278" t="inlineStr"/>
      <c r="UUS78" s="278" t="inlineStr"/>
      <c r="UUT78" s="278" t="inlineStr"/>
      <c r="UUU78" s="278" t="inlineStr"/>
      <c r="UUV78" s="278" t="inlineStr"/>
      <c r="UUW78" s="278" t="inlineStr"/>
      <c r="UUX78" s="278" t="inlineStr"/>
      <c r="UUY78" s="278" t="inlineStr"/>
      <c r="UUZ78" s="278" t="inlineStr"/>
      <c r="UVA78" s="278" t="inlineStr"/>
      <c r="UVB78" s="278" t="inlineStr"/>
      <c r="UVC78" s="278" t="inlineStr"/>
      <c r="UVD78" s="278" t="inlineStr"/>
      <c r="UVE78" s="278" t="inlineStr"/>
      <c r="UVF78" s="278" t="inlineStr"/>
      <c r="UVG78" s="278" t="inlineStr"/>
      <c r="UVH78" s="278" t="inlineStr"/>
      <c r="UVI78" s="278" t="inlineStr"/>
      <c r="UVJ78" s="278" t="inlineStr"/>
      <c r="UVK78" s="278" t="inlineStr"/>
      <c r="UVL78" s="278" t="inlineStr"/>
      <c r="UVM78" s="278" t="inlineStr"/>
      <c r="UVN78" s="278" t="inlineStr"/>
      <c r="UVO78" s="278" t="inlineStr"/>
      <c r="UVP78" s="278" t="inlineStr"/>
      <c r="UVQ78" s="278" t="inlineStr"/>
      <c r="UVR78" s="278" t="inlineStr"/>
      <c r="UVS78" s="278" t="inlineStr"/>
      <c r="UVT78" s="278" t="inlineStr"/>
      <c r="UVU78" s="278" t="inlineStr"/>
      <c r="UVV78" s="278" t="inlineStr"/>
      <c r="UVW78" s="278" t="inlineStr"/>
      <c r="UVX78" s="278" t="inlineStr"/>
      <c r="UVY78" s="278" t="inlineStr"/>
      <c r="UVZ78" s="278" t="inlineStr"/>
      <c r="UWA78" s="278" t="inlineStr"/>
      <c r="UWB78" s="278" t="inlineStr"/>
      <c r="UWC78" s="278" t="inlineStr"/>
      <c r="UWD78" s="278" t="inlineStr"/>
      <c r="UWE78" s="278" t="inlineStr"/>
      <c r="UWF78" s="278" t="inlineStr"/>
      <c r="UWG78" s="278" t="inlineStr"/>
      <c r="UWH78" s="278" t="inlineStr"/>
      <c r="UWI78" s="278" t="inlineStr"/>
      <c r="UWJ78" s="278" t="inlineStr"/>
      <c r="UWK78" s="278" t="inlineStr"/>
      <c r="UWL78" s="278" t="inlineStr"/>
      <c r="UWM78" s="278" t="inlineStr"/>
      <c r="UWN78" s="278" t="inlineStr"/>
      <c r="UWO78" s="278" t="inlineStr"/>
      <c r="UWP78" s="278" t="inlineStr"/>
      <c r="UWQ78" s="278" t="inlineStr"/>
      <c r="UWR78" s="278" t="inlineStr"/>
      <c r="UWS78" s="278" t="inlineStr"/>
      <c r="UWT78" s="278" t="inlineStr"/>
      <c r="UWU78" s="278" t="inlineStr"/>
      <c r="UWV78" s="278" t="inlineStr"/>
      <c r="UWW78" s="278" t="inlineStr"/>
      <c r="UWX78" s="278" t="inlineStr"/>
      <c r="UWY78" s="278" t="inlineStr"/>
      <c r="UWZ78" s="278" t="inlineStr"/>
      <c r="UXA78" s="278" t="inlineStr"/>
      <c r="UXB78" s="278" t="inlineStr"/>
      <c r="UXC78" s="278" t="inlineStr"/>
      <c r="UXD78" s="278" t="inlineStr"/>
      <c r="UXE78" s="278" t="inlineStr"/>
      <c r="UXF78" s="278" t="inlineStr"/>
      <c r="UXG78" s="278" t="inlineStr"/>
      <c r="UXH78" s="278" t="inlineStr"/>
      <c r="UXI78" s="278" t="inlineStr"/>
      <c r="UXJ78" s="278" t="inlineStr"/>
      <c r="UXK78" s="278" t="inlineStr"/>
      <c r="UXL78" s="278" t="inlineStr"/>
      <c r="UXM78" s="278" t="inlineStr"/>
      <c r="UXN78" s="278" t="inlineStr"/>
      <c r="UXO78" s="278" t="inlineStr"/>
      <c r="UXP78" s="278" t="inlineStr"/>
      <c r="UXQ78" s="278" t="inlineStr"/>
      <c r="UXR78" s="278" t="inlineStr"/>
      <c r="UXS78" s="278" t="inlineStr"/>
      <c r="UXT78" s="278" t="inlineStr"/>
      <c r="UXU78" s="278" t="inlineStr"/>
      <c r="UXV78" s="278" t="inlineStr"/>
      <c r="UXW78" s="278" t="inlineStr"/>
      <c r="UXX78" s="278" t="inlineStr"/>
      <c r="UXY78" s="278" t="inlineStr"/>
      <c r="UXZ78" s="278" t="inlineStr"/>
      <c r="UYA78" s="278" t="inlineStr"/>
      <c r="UYB78" s="278" t="inlineStr"/>
      <c r="UYC78" s="278" t="inlineStr"/>
      <c r="UYD78" s="278" t="inlineStr"/>
      <c r="UYE78" s="278" t="inlineStr"/>
      <c r="UYF78" s="278" t="inlineStr"/>
      <c r="UYG78" s="278" t="inlineStr"/>
      <c r="UYH78" s="278" t="inlineStr"/>
      <c r="UYI78" s="278" t="inlineStr"/>
      <c r="UYJ78" s="278" t="inlineStr"/>
      <c r="UYK78" s="278" t="inlineStr"/>
      <c r="UYL78" s="278" t="inlineStr"/>
      <c r="UYM78" s="278" t="inlineStr"/>
      <c r="UYN78" s="278" t="inlineStr"/>
      <c r="UYO78" s="278" t="inlineStr"/>
      <c r="UYP78" s="278" t="inlineStr"/>
      <c r="UYQ78" s="278" t="inlineStr"/>
      <c r="UYR78" s="278" t="inlineStr"/>
      <c r="UYS78" s="278" t="inlineStr"/>
      <c r="UYT78" s="278" t="inlineStr"/>
      <c r="UYU78" s="278" t="inlineStr"/>
      <c r="UYV78" s="278" t="inlineStr"/>
      <c r="UYW78" s="278" t="inlineStr"/>
      <c r="UYX78" s="278" t="inlineStr"/>
      <c r="UYY78" s="278" t="inlineStr"/>
      <c r="UYZ78" s="278" t="inlineStr"/>
      <c r="UZA78" s="278" t="inlineStr"/>
      <c r="UZB78" s="278" t="inlineStr"/>
      <c r="UZC78" s="278" t="inlineStr"/>
      <c r="UZD78" s="278" t="inlineStr"/>
      <c r="UZE78" s="278" t="inlineStr"/>
      <c r="UZF78" s="278" t="inlineStr"/>
      <c r="UZG78" s="278" t="inlineStr"/>
      <c r="UZH78" s="278" t="inlineStr"/>
      <c r="UZI78" s="278" t="inlineStr"/>
      <c r="UZJ78" s="278" t="inlineStr"/>
      <c r="UZK78" s="278" t="inlineStr"/>
      <c r="UZL78" s="278" t="inlineStr"/>
      <c r="UZM78" s="278" t="inlineStr"/>
      <c r="UZN78" s="278" t="inlineStr"/>
      <c r="UZO78" s="278" t="inlineStr"/>
      <c r="UZP78" s="278" t="inlineStr"/>
      <c r="UZQ78" s="278" t="inlineStr"/>
      <c r="UZR78" s="278" t="inlineStr"/>
      <c r="UZS78" s="278" t="inlineStr"/>
      <c r="UZT78" s="278" t="inlineStr"/>
      <c r="UZU78" s="278" t="inlineStr"/>
      <c r="UZV78" s="278" t="inlineStr"/>
      <c r="UZW78" s="278" t="inlineStr"/>
      <c r="UZX78" s="278" t="inlineStr"/>
      <c r="UZY78" s="278" t="inlineStr"/>
      <c r="UZZ78" s="278" t="inlineStr"/>
      <c r="VAA78" s="278" t="inlineStr"/>
      <c r="VAB78" s="278" t="inlineStr"/>
      <c r="VAC78" s="278" t="inlineStr"/>
      <c r="VAD78" s="278" t="inlineStr"/>
      <c r="VAE78" s="278" t="inlineStr"/>
      <c r="VAF78" s="278" t="inlineStr"/>
      <c r="VAG78" s="278" t="inlineStr"/>
      <c r="VAH78" s="278" t="inlineStr"/>
      <c r="VAI78" s="278" t="inlineStr"/>
      <c r="VAJ78" s="278" t="inlineStr"/>
      <c r="VAK78" s="278" t="inlineStr"/>
      <c r="VAL78" s="278" t="inlineStr"/>
      <c r="VAM78" s="278" t="inlineStr"/>
      <c r="VAN78" s="278" t="inlineStr"/>
      <c r="VAO78" s="278" t="inlineStr"/>
      <c r="VAP78" s="278" t="inlineStr"/>
      <c r="VAQ78" s="278" t="inlineStr"/>
      <c r="VAR78" s="278" t="inlineStr"/>
      <c r="VAS78" s="278" t="inlineStr"/>
      <c r="VAT78" s="278" t="inlineStr"/>
      <c r="VAU78" s="278" t="inlineStr"/>
      <c r="VAV78" s="278" t="inlineStr"/>
      <c r="VAW78" s="278" t="inlineStr"/>
      <c r="VAX78" s="278" t="inlineStr"/>
      <c r="VAY78" s="278" t="inlineStr"/>
      <c r="VAZ78" s="278" t="inlineStr"/>
      <c r="VBA78" s="278" t="inlineStr"/>
      <c r="VBB78" s="278" t="inlineStr"/>
      <c r="VBC78" s="278" t="inlineStr"/>
      <c r="VBD78" s="278" t="inlineStr"/>
      <c r="VBE78" s="278" t="inlineStr"/>
      <c r="VBF78" s="278" t="inlineStr"/>
      <c r="VBG78" s="278" t="inlineStr"/>
      <c r="VBH78" s="278" t="inlineStr"/>
      <c r="VBI78" s="278" t="inlineStr"/>
      <c r="VBJ78" s="278" t="inlineStr"/>
      <c r="VBK78" s="278" t="inlineStr"/>
      <c r="VBL78" s="278" t="inlineStr"/>
      <c r="VBM78" s="278" t="inlineStr"/>
      <c r="VBN78" s="278" t="inlineStr"/>
      <c r="VBO78" s="278" t="inlineStr"/>
      <c r="VBP78" s="278" t="inlineStr"/>
      <c r="VBQ78" s="278" t="inlineStr"/>
      <c r="VBR78" s="278" t="inlineStr"/>
      <c r="VBS78" s="278" t="inlineStr"/>
      <c r="VBT78" s="278" t="inlineStr"/>
      <c r="VBU78" s="278" t="inlineStr"/>
      <c r="VBV78" s="278" t="inlineStr"/>
      <c r="VBW78" s="278" t="inlineStr"/>
      <c r="VBX78" s="278" t="inlineStr"/>
      <c r="VBY78" s="278" t="inlineStr"/>
      <c r="VBZ78" s="278" t="inlineStr"/>
      <c r="VCA78" s="278" t="inlineStr"/>
      <c r="VCB78" s="278" t="inlineStr"/>
      <c r="VCC78" s="278" t="inlineStr"/>
      <c r="VCD78" s="278" t="inlineStr"/>
      <c r="VCE78" s="278" t="inlineStr"/>
      <c r="VCF78" s="278" t="inlineStr"/>
      <c r="VCG78" s="278" t="inlineStr"/>
      <c r="VCH78" s="278" t="inlineStr"/>
      <c r="VCI78" s="278" t="inlineStr"/>
      <c r="VCJ78" s="278" t="inlineStr"/>
      <c r="VCK78" s="278" t="inlineStr"/>
      <c r="VCL78" s="278" t="inlineStr"/>
      <c r="VCM78" s="278" t="inlineStr"/>
      <c r="VCN78" s="278" t="inlineStr"/>
      <c r="VCO78" s="278" t="inlineStr"/>
      <c r="VCP78" s="278" t="inlineStr"/>
      <c r="VCQ78" s="278" t="inlineStr"/>
      <c r="VCR78" s="278" t="inlineStr"/>
      <c r="VCS78" s="278" t="inlineStr"/>
      <c r="VCT78" s="278" t="inlineStr"/>
      <c r="VCU78" s="278" t="inlineStr"/>
      <c r="VCV78" s="278" t="inlineStr"/>
      <c r="VCW78" s="278" t="inlineStr"/>
      <c r="VCX78" s="278" t="inlineStr"/>
      <c r="VCY78" s="278" t="inlineStr"/>
      <c r="VCZ78" s="278" t="inlineStr"/>
      <c r="VDA78" s="278" t="inlineStr"/>
      <c r="VDB78" s="278" t="inlineStr"/>
      <c r="VDC78" s="278" t="inlineStr"/>
      <c r="VDD78" s="278" t="inlineStr"/>
      <c r="VDE78" s="278" t="inlineStr"/>
      <c r="VDF78" s="278" t="inlineStr"/>
      <c r="VDG78" s="278" t="inlineStr"/>
      <c r="VDH78" s="278" t="inlineStr"/>
      <c r="VDI78" s="278" t="inlineStr"/>
      <c r="VDJ78" s="278" t="inlineStr"/>
      <c r="VDK78" s="278" t="inlineStr"/>
      <c r="VDL78" s="278" t="inlineStr"/>
      <c r="VDM78" s="278" t="inlineStr"/>
      <c r="VDN78" s="278" t="inlineStr"/>
      <c r="VDO78" s="278" t="inlineStr"/>
      <c r="VDP78" s="278" t="inlineStr"/>
      <c r="VDQ78" s="278" t="inlineStr"/>
      <c r="VDR78" s="278" t="inlineStr"/>
      <c r="VDS78" s="278" t="inlineStr"/>
      <c r="VDT78" s="278" t="inlineStr"/>
      <c r="VDU78" s="278" t="inlineStr"/>
      <c r="VDV78" s="278" t="inlineStr"/>
      <c r="VDW78" s="278" t="inlineStr"/>
      <c r="VDX78" s="278" t="inlineStr"/>
      <c r="VDY78" s="278" t="inlineStr"/>
      <c r="VDZ78" s="278" t="inlineStr"/>
      <c r="VEA78" s="278" t="inlineStr"/>
      <c r="VEB78" s="278" t="inlineStr"/>
      <c r="VEC78" s="278" t="inlineStr"/>
      <c r="VED78" s="278" t="inlineStr"/>
      <c r="VEE78" s="278" t="inlineStr"/>
      <c r="VEF78" s="278" t="inlineStr"/>
      <c r="VEG78" s="278" t="inlineStr"/>
      <c r="VEH78" s="278" t="inlineStr"/>
      <c r="VEI78" s="278" t="inlineStr"/>
      <c r="VEJ78" s="278" t="inlineStr"/>
      <c r="VEK78" s="278" t="inlineStr"/>
      <c r="VEL78" s="278" t="inlineStr"/>
      <c r="VEM78" s="278" t="inlineStr"/>
      <c r="VEN78" s="278" t="inlineStr"/>
      <c r="VEO78" s="278" t="inlineStr"/>
      <c r="VEP78" s="278" t="inlineStr"/>
      <c r="VEQ78" s="278" t="inlineStr"/>
      <c r="VER78" s="278" t="inlineStr"/>
      <c r="VES78" s="278" t="inlineStr"/>
      <c r="VET78" s="278" t="inlineStr"/>
      <c r="VEU78" s="278" t="inlineStr"/>
      <c r="VEV78" s="278" t="inlineStr"/>
      <c r="VEW78" s="278" t="inlineStr"/>
      <c r="VEX78" s="278" t="inlineStr"/>
      <c r="VEY78" s="278" t="inlineStr"/>
      <c r="VEZ78" s="278" t="inlineStr"/>
      <c r="VFA78" s="278" t="inlineStr"/>
      <c r="VFB78" s="278" t="inlineStr"/>
      <c r="VFC78" s="278" t="inlineStr"/>
      <c r="VFD78" s="278" t="inlineStr"/>
      <c r="VFE78" s="278" t="inlineStr"/>
      <c r="VFF78" s="278" t="inlineStr"/>
      <c r="VFG78" s="278" t="inlineStr"/>
      <c r="VFH78" s="278" t="inlineStr"/>
      <c r="VFI78" s="278" t="inlineStr"/>
      <c r="VFJ78" s="278" t="inlineStr"/>
      <c r="VFK78" s="278" t="inlineStr"/>
      <c r="VFL78" s="278" t="inlineStr"/>
      <c r="VFM78" s="278" t="inlineStr"/>
      <c r="VFN78" s="278" t="inlineStr"/>
      <c r="VFO78" s="278" t="inlineStr"/>
      <c r="VFP78" s="278" t="inlineStr"/>
      <c r="VFQ78" s="278" t="inlineStr"/>
      <c r="VFR78" s="278" t="inlineStr"/>
      <c r="VFS78" s="278" t="inlineStr"/>
      <c r="VFT78" s="278" t="inlineStr"/>
      <c r="VFU78" s="278" t="inlineStr"/>
      <c r="VFV78" s="278" t="inlineStr"/>
      <c r="VFW78" s="278" t="inlineStr"/>
      <c r="VFX78" s="278" t="inlineStr"/>
      <c r="VFY78" s="278" t="inlineStr"/>
      <c r="VFZ78" s="278" t="inlineStr"/>
      <c r="VGA78" s="278" t="inlineStr"/>
      <c r="VGB78" s="278" t="inlineStr"/>
      <c r="VGC78" s="278" t="inlineStr"/>
      <c r="VGD78" s="278" t="inlineStr"/>
      <c r="VGE78" s="278" t="inlineStr"/>
      <c r="VGF78" s="278" t="inlineStr"/>
      <c r="VGG78" s="278" t="inlineStr"/>
      <c r="VGH78" s="278" t="inlineStr"/>
      <c r="VGI78" s="278" t="inlineStr"/>
      <c r="VGJ78" s="278" t="inlineStr"/>
      <c r="VGK78" s="278" t="inlineStr"/>
      <c r="VGL78" s="278" t="inlineStr"/>
      <c r="VGM78" s="278" t="inlineStr"/>
      <c r="VGN78" s="278" t="inlineStr"/>
      <c r="VGO78" s="278" t="inlineStr"/>
      <c r="VGP78" s="278" t="inlineStr"/>
      <c r="VGQ78" s="278" t="inlineStr"/>
      <c r="VGR78" s="278" t="inlineStr"/>
      <c r="VGS78" s="278" t="inlineStr"/>
      <c r="VGT78" s="278" t="inlineStr"/>
      <c r="VGU78" s="278" t="inlineStr"/>
      <c r="VGV78" s="278" t="inlineStr"/>
      <c r="VGW78" s="278" t="inlineStr"/>
      <c r="VGX78" s="278" t="inlineStr"/>
      <c r="VGY78" s="278" t="inlineStr"/>
      <c r="VGZ78" s="278" t="inlineStr"/>
      <c r="VHA78" s="278" t="inlineStr"/>
      <c r="VHB78" s="278" t="inlineStr"/>
      <c r="VHC78" s="278" t="inlineStr"/>
      <c r="VHD78" s="278" t="inlineStr"/>
      <c r="VHE78" s="278" t="inlineStr"/>
      <c r="VHF78" s="278" t="inlineStr"/>
      <c r="VHG78" s="278" t="inlineStr"/>
      <c r="VHH78" s="278" t="inlineStr"/>
      <c r="VHI78" s="278" t="inlineStr"/>
      <c r="VHJ78" s="278" t="inlineStr"/>
      <c r="VHK78" s="278" t="inlineStr"/>
      <c r="VHL78" s="278" t="inlineStr"/>
      <c r="VHM78" s="278" t="inlineStr"/>
      <c r="VHN78" s="278" t="inlineStr"/>
      <c r="VHO78" s="278" t="inlineStr"/>
      <c r="VHP78" s="278" t="inlineStr"/>
      <c r="VHQ78" s="278" t="inlineStr"/>
      <c r="VHR78" s="278" t="inlineStr"/>
      <c r="VHS78" s="278" t="inlineStr"/>
      <c r="VHT78" s="278" t="inlineStr"/>
      <c r="VHU78" s="278" t="inlineStr"/>
      <c r="VHV78" s="278" t="inlineStr"/>
      <c r="VHW78" s="278" t="inlineStr"/>
      <c r="VHX78" s="278" t="inlineStr"/>
      <c r="VHY78" s="278" t="inlineStr"/>
      <c r="VHZ78" s="278" t="inlineStr"/>
      <c r="VIA78" s="278" t="inlineStr"/>
      <c r="VIB78" s="278" t="inlineStr"/>
      <c r="VIC78" s="278" t="inlineStr"/>
      <c r="VID78" s="278" t="inlineStr"/>
      <c r="VIE78" s="278" t="inlineStr"/>
      <c r="VIF78" s="278" t="inlineStr"/>
      <c r="VIG78" s="278" t="inlineStr"/>
      <c r="VIH78" s="278" t="inlineStr"/>
      <c r="VII78" s="278" t="inlineStr"/>
      <c r="VIJ78" s="278" t="inlineStr"/>
      <c r="VIK78" s="278" t="inlineStr"/>
      <c r="VIL78" s="278" t="inlineStr"/>
      <c r="VIM78" s="278" t="inlineStr"/>
      <c r="VIN78" s="278" t="inlineStr"/>
      <c r="VIO78" s="278" t="inlineStr"/>
      <c r="VIP78" s="278" t="inlineStr"/>
      <c r="VIQ78" s="278" t="inlineStr"/>
      <c r="VIR78" s="278" t="inlineStr"/>
      <c r="VIS78" s="278" t="inlineStr"/>
      <c r="VIT78" s="278" t="inlineStr"/>
      <c r="VIU78" s="278" t="inlineStr"/>
      <c r="VIV78" s="278" t="inlineStr"/>
      <c r="VIW78" s="278" t="inlineStr"/>
      <c r="VIX78" s="278" t="inlineStr"/>
      <c r="VIY78" s="278" t="inlineStr"/>
      <c r="VIZ78" s="278" t="inlineStr"/>
      <c r="VJA78" s="278" t="inlineStr"/>
      <c r="VJB78" s="278" t="inlineStr"/>
      <c r="VJC78" s="278" t="inlineStr"/>
      <c r="VJD78" s="278" t="inlineStr"/>
      <c r="VJE78" s="278" t="inlineStr"/>
      <c r="VJF78" s="278" t="inlineStr"/>
      <c r="VJG78" s="278" t="inlineStr"/>
      <c r="VJH78" s="278" t="inlineStr"/>
      <c r="VJI78" s="278" t="inlineStr"/>
      <c r="VJJ78" s="278" t="inlineStr"/>
      <c r="VJK78" s="278" t="inlineStr"/>
      <c r="VJL78" s="278" t="inlineStr"/>
      <c r="VJM78" s="278" t="inlineStr"/>
      <c r="VJN78" s="278" t="inlineStr"/>
      <c r="VJO78" s="278" t="inlineStr"/>
      <c r="VJP78" s="278" t="inlineStr"/>
      <c r="VJQ78" s="278" t="inlineStr"/>
      <c r="VJR78" s="278" t="inlineStr"/>
      <c r="VJS78" s="278" t="inlineStr"/>
      <c r="VJT78" s="278" t="inlineStr"/>
      <c r="VJU78" s="278" t="inlineStr"/>
      <c r="VJV78" s="278" t="inlineStr"/>
      <c r="VJW78" s="278" t="inlineStr"/>
      <c r="VJX78" s="278" t="inlineStr"/>
      <c r="VJY78" s="278" t="inlineStr"/>
      <c r="VJZ78" s="278" t="inlineStr"/>
      <c r="VKA78" s="278" t="inlineStr"/>
      <c r="VKB78" s="278" t="inlineStr"/>
      <c r="VKC78" s="278" t="inlineStr"/>
      <c r="VKD78" s="278" t="inlineStr"/>
      <c r="VKE78" s="278" t="inlineStr"/>
      <c r="VKF78" s="278" t="inlineStr"/>
      <c r="VKG78" s="278" t="inlineStr"/>
      <c r="VKH78" s="278" t="inlineStr"/>
      <c r="VKI78" s="278" t="inlineStr"/>
      <c r="VKJ78" s="278" t="inlineStr"/>
      <c r="VKK78" s="278" t="inlineStr"/>
      <c r="VKL78" s="278" t="inlineStr"/>
      <c r="VKM78" s="278" t="inlineStr"/>
      <c r="VKN78" s="278" t="inlineStr"/>
      <c r="VKO78" s="278" t="inlineStr"/>
      <c r="VKP78" s="278" t="inlineStr"/>
      <c r="VKQ78" s="278" t="inlineStr"/>
      <c r="VKR78" s="278" t="inlineStr"/>
      <c r="VKS78" s="278" t="inlineStr"/>
      <c r="VKT78" s="278" t="inlineStr"/>
      <c r="VKU78" s="278" t="inlineStr"/>
      <c r="VKV78" s="278" t="inlineStr"/>
      <c r="VKW78" s="278" t="inlineStr"/>
      <c r="VKX78" s="278" t="inlineStr"/>
      <c r="VKY78" s="278" t="inlineStr"/>
      <c r="VKZ78" s="278" t="inlineStr"/>
      <c r="VLA78" s="278" t="inlineStr"/>
      <c r="VLB78" s="278" t="inlineStr"/>
      <c r="VLC78" s="278" t="inlineStr"/>
      <c r="VLD78" s="278" t="inlineStr"/>
      <c r="VLE78" s="278" t="inlineStr"/>
      <c r="VLF78" s="278" t="inlineStr"/>
      <c r="VLG78" s="278" t="inlineStr"/>
      <c r="VLH78" s="278" t="inlineStr"/>
      <c r="VLI78" s="278" t="inlineStr"/>
      <c r="VLJ78" s="278" t="inlineStr"/>
      <c r="VLK78" s="278" t="inlineStr"/>
      <c r="VLL78" s="278" t="inlineStr"/>
      <c r="VLM78" s="278" t="inlineStr"/>
      <c r="VLN78" s="278" t="inlineStr"/>
      <c r="VLO78" s="278" t="inlineStr"/>
      <c r="VLP78" s="278" t="inlineStr"/>
      <c r="VLQ78" s="278" t="inlineStr"/>
      <c r="VLR78" s="278" t="inlineStr"/>
      <c r="VLS78" s="278" t="inlineStr"/>
      <c r="VLT78" s="278" t="inlineStr"/>
      <c r="VLU78" s="278" t="inlineStr"/>
      <c r="VLV78" s="278" t="inlineStr"/>
      <c r="VLW78" s="278" t="inlineStr"/>
      <c r="VLX78" s="278" t="inlineStr"/>
      <c r="VLY78" s="278" t="inlineStr"/>
      <c r="VLZ78" s="278" t="inlineStr"/>
      <c r="VMA78" s="278" t="inlineStr"/>
      <c r="VMB78" s="278" t="inlineStr"/>
      <c r="VMC78" s="278" t="inlineStr"/>
      <c r="VMD78" s="278" t="inlineStr"/>
      <c r="VME78" s="278" t="inlineStr"/>
      <c r="VMF78" s="278" t="inlineStr"/>
      <c r="VMG78" s="278" t="inlineStr"/>
      <c r="VMH78" s="278" t="inlineStr"/>
      <c r="VMI78" s="278" t="inlineStr"/>
      <c r="VMJ78" s="278" t="inlineStr"/>
      <c r="VMK78" s="278" t="inlineStr"/>
      <c r="VML78" s="278" t="inlineStr"/>
      <c r="VMM78" s="278" t="inlineStr"/>
      <c r="VMN78" s="278" t="inlineStr"/>
      <c r="VMO78" s="278" t="inlineStr"/>
      <c r="VMP78" s="278" t="inlineStr"/>
      <c r="VMQ78" s="278" t="inlineStr"/>
      <c r="VMR78" s="278" t="inlineStr"/>
      <c r="VMS78" s="278" t="inlineStr"/>
      <c r="VMT78" s="278" t="inlineStr"/>
      <c r="VMU78" s="278" t="inlineStr"/>
      <c r="VMV78" s="278" t="inlineStr"/>
      <c r="VMW78" s="278" t="inlineStr"/>
      <c r="VMX78" s="278" t="inlineStr"/>
      <c r="VMY78" s="278" t="inlineStr"/>
      <c r="VMZ78" s="278" t="inlineStr"/>
      <c r="VNA78" s="278" t="inlineStr"/>
      <c r="VNB78" s="278" t="inlineStr"/>
      <c r="VNC78" s="278" t="inlineStr"/>
      <c r="VND78" s="278" t="inlineStr"/>
      <c r="VNE78" s="278" t="inlineStr"/>
      <c r="VNF78" s="278" t="inlineStr"/>
      <c r="VNG78" s="278" t="inlineStr"/>
      <c r="VNH78" s="278" t="inlineStr"/>
      <c r="VNI78" s="278" t="inlineStr"/>
      <c r="VNJ78" s="278" t="inlineStr"/>
      <c r="VNK78" s="278" t="inlineStr"/>
      <c r="VNL78" s="278" t="inlineStr"/>
      <c r="VNM78" s="278" t="inlineStr"/>
      <c r="VNN78" s="278" t="inlineStr"/>
      <c r="VNO78" s="278" t="inlineStr"/>
      <c r="VNP78" s="278" t="inlineStr"/>
      <c r="VNQ78" s="278" t="inlineStr"/>
      <c r="VNR78" s="278" t="inlineStr"/>
      <c r="VNS78" s="278" t="inlineStr"/>
      <c r="VNT78" s="278" t="inlineStr"/>
      <c r="VNU78" s="278" t="inlineStr"/>
      <c r="VNV78" s="278" t="inlineStr"/>
      <c r="VNW78" s="278" t="inlineStr"/>
      <c r="VNX78" s="278" t="inlineStr"/>
      <c r="VNY78" s="278" t="inlineStr"/>
      <c r="VNZ78" s="278" t="inlineStr"/>
      <c r="VOA78" s="278" t="inlineStr"/>
      <c r="VOB78" s="278" t="inlineStr"/>
      <c r="VOC78" s="278" t="inlineStr"/>
      <c r="VOD78" s="278" t="inlineStr"/>
      <c r="VOE78" s="278" t="inlineStr"/>
      <c r="VOF78" s="278" t="inlineStr"/>
      <c r="VOG78" s="278" t="inlineStr"/>
      <c r="VOH78" s="278" t="inlineStr"/>
      <c r="VOI78" s="278" t="inlineStr"/>
      <c r="VOJ78" s="278" t="inlineStr"/>
      <c r="VOK78" s="278" t="inlineStr"/>
      <c r="VOL78" s="278" t="inlineStr"/>
      <c r="VOM78" s="278" t="inlineStr"/>
      <c r="VON78" s="278" t="inlineStr"/>
      <c r="VOO78" s="278" t="inlineStr"/>
      <c r="VOP78" s="278" t="inlineStr"/>
      <c r="VOQ78" s="278" t="inlineStr"/>
      <c r="VOR78" s="278" t="inlineStr"/>
      <c r="VOS78" s="278" t="inlineStr"/>
      <c r="VOT78" s="278" t="inlineStr"/>
      <c r="VOU78" s="278" t="inlineStr"/>
      <c r="VOV78" s="278" t="inlineStr"/>
      <c r="VOW78" s="278" t="inlineStr"/>
      <c r="VOX78" s="278" t="inlineStr"/>
      <c r="VOY78" s="278" t="inlineStr"/>
      <c r="VOZ78" s="278" t="inlineStr"/>
      <c r="VPA78" s="278" t="inlineStr"/>
      <c r="VPB78" s="278" t="inlineStr"/>
      <c r="VPC78" s="278" t="inlineStr"/>
      <c r="VPD78" s="278" t="inlineStr"/>
      <c r="VPE78" s="278" t="inlineStr"/>
      <c r="VPF78" s="278" t="inlineStr"/>
      <c r="VPG78" s="278" t="inlineStr"/>
      <c r="VPH78" s="278" t="inlineStr"/>
      <c r="VPI78" s="278" t="inlineStr"/>
      <c r="VPJ78" s="278" t="inlineStr"/>
      <c r="VPK78" s="278" t="inlineStr"/>
      <c r="VPL78" s="278" t="inlineStr"/>
      <c r="VPM78" s="278" t="inlineStr"/>
      <c r="VPN78" s="278" t="inlineStr"/>
      <c r="VPO78" s="278" t="inlineStr"/>
      <c r="VPP78" s="278" t="inlineStr"/>
      <c r="VPQ78" s="278" t="inlineStr"/>
      <c r="VPR78" s="278" t="inlineStr"/>
      <c r="VPS78" s="278" t="inlineStr"/>
      <c r="VPT78" s="278" t="inlineStr"/>
      <c r="VPU78" s="278" t="inlineStr"/>
      <c r="VPV78" s="278" t="inlineStr"/>
      <c r="VPW78" s="278" t="inlineStr"/>
      <c r="VPX78" s="278" t="inlineStr"/>
      <c r="VPY78" s="278" t="inlineStr"/>
      <c r="VPZ78" s="278" t="inlineStr"/>
      <c r="VQA78" s="278" t="inlineStr"/>
      <c r="VQB78" s="278" t="inlineStr"/>
      <c r="VQC78" s="278" t="inlineStr"/>
      <c r="VQD78" s="278" t="inlineStr"/>
      <c r="VQE78" s="278" t="inlineStr"/>
      <c r="VQF78" s="278" t="inlineStr"/>
      <c r="VQG78" s="278" t="inlineStr"/>
      <c r="VQH78" s="278" t="inlineStr"/>
      <c r="VQI78" s="278" t="inlineStr"/>
      <c r="VQJ78" s="278" t="inlineStr"/>
      <c r="VQK78" s="278" t="inlineStr"/>
      <c r="VQL78" s="278" t="inlineStr"/>
      <c r="VQM78" s="278" t="inlineStr"/>
      <c r="VQN78" s="278" t="inlineStr"/>
      <c r="VQO78" s="278" t="inlineStr"/>
      <c r="VQP78" s="278" t="inlineStr"/>
      <c r="VQQ78" s="278" t="inlineStr"/>
      <c r="VQR78" s="278" t="inlineStr"/>
      <c r="VQS78" s="278" t="inlineStr"/>
      <c r="VQT78" s="278" t="inlineStr"/>
      <c r="VQU78" s="278" t="inlineStr"/>
      <c r="VQV78" s="278" t="inlineStr"/>
      <c r="VQW78" s="278" t="inlineStr"/>
      <c r="VQX78" s="278" t="inlineStr"/>
      <c r="VQY78" s="278" t="inlineStr"/>
      <c r="VQZ78" s="278" t="inlineStr"/>
      <c r="VRA78" s="278" t="inlineStr"/>
      <c r="VRB78" s="278" t="inlineStr"/>
      <c r="VRC78" s="278" t="inlineStr"/>
      <c r="VRD78" s="278" t="inlineStr"/>
      <c r="VRE78" s="278" t="inlineStr"/>
      <c r="VRF78" s="278" t="inlineStr"/>
      <c r="VRG78" s="278" t="inlineStr"/>
      <c r="VRH78" s="278" t="inlineStr"/>
      <c r="VRI78" s="278" t="inlineStr"/>
      <c r="VRJ78" s="278" t="inlineStr"/>
      <c r="VRK78" s="278" t="inlineStr"/>
      <c r="VRL78" s="278" t="inlineStr"/>
      <c r="VRM78" s="278" t="inlineStr"/>
      <c r="VRN78" s="278" t="inlineStr"/>
      <c r="VRO78" s="278" t="inlineStr"/>
      <c r="VRP78" s="278" t="inlineStr"/>
      <c r="VRQ78" s="278" t="inlineStr"/>
      <c r="VRR78" s="278" t="inlineStr"/>
      <c r="VRS78" s="278" t="inlineStr"/>
      <c r="VRT78" s="278" t="inlineStr"/>
      <c r="VRU78" s="278" t="inlineStr"/>
      <c r="VRV78" s="278" t="inlineStr"/>
      <c r="VRW78" s="278" t="inlineStr"/>
      <c r="VRX78" s="278" t="inlineStr"/>
      <c r="VRY78" s="278" t="inlineStr"/>
      <c r="VRZ78" s="278" t="inlineStr"/>
      <c r="VSA78" s="278" t="inlineStr"/>
      <c r="VSB78" s="278" t="inlineStr"/>
      <c r="VSC78" s="278" t="inlineStr"/>
      <c r="VSD78" s="278" t="inlineStr"/>
      <c r="VSE78" s="278" t="inlineStr"/>
      <c r="VSF78" s="278" t="inlineStr"/>
      <c r="VSG78" s="278" t="inlineStr"/>
      <c r="VSH78" s="278" t="inlineStr"/>
      <c r="VSI78" s="278" t="inlineStr"/>
      <c r="VSJ78" s="278" t="inlineStr"/>
      <c r="VSK78" s="278" t="inlineStr"/>
      <c r="VSL78" s="278" t="inlineStr"/>
      <c r="VSM78" s="278" t="inlineStr"/>
      <c r="VSN78" s="278" t="inlineStr"/>
      <c r="VSO78" s="278" t="inlineStr"/>
      <c r="VSP78" s="278" t="inlineStr"/>
      <c r="VSQ78" s="278" t="inlineStr"/>
      <c r="VSR78" s="278" t="inlineStr"/>
      <c r="VSS78" s="278" t="inlineStr"/>
      <c r="VST78" s="278" t="inlineStr"/>
      <c r="VSU78" s="278" t="inlineStr"/>
      <c r="VSV78" s="278" t="inlineStr"/>
      <c r="VSW78" s="278" t="inlineStr"/>
      <c r="VSX78" s="278" t="inlineStr"/>
      <c r="VSY78" s="278" t="inlineStr"/>
      <c r="VSZ78" s="278" t="inlineStr"/>
      <c r="VTA78" s="278" t="inlineStr"/>
      <c r="VTB78" s="278" t="inlineStr"/>
      <c r="VTC78" s="278" t="inlineStr"/>
      <c r="VTD78" s="278" t="inlineStr"/>
      <c r="VTE78" s="278" t="inlineStr"/>
      <c r="VTF78" s="278" t="inlineStr"/>
      <c r="VTG78" s="278" t="inlineStr"/>
      <c r="VTH78" s="278" t="inlineStr"/>
      <c r="VTI78" s="278" t="inlineStr"/>
      <c r="VTJ78" s="278" t="inlineStr"/>
      <c r="VTK78" s="278" t="inlineStr"/>
      <c r="VTL78" s="278" t="inlineStr"/>
      <c r="VTM78" s="278" t="inlineStr"/>
      <c r="VTN78" s="278" t="inlineStr"/>
      <c r="VTO78" s="278" t="inlineStr"/>
      <c r="VTP78" s="278" t="inlineStr"/>
      <c r="VTQ78" s="278" t="inlineStr"/>
      <c r="VTR78" s="278" t="inlineStr"/>
      <c r="VTS78" s="278" t="inlineStr"/>
      <c r="VTT78" s="278" t="inlineStr"/>
      <c r="VTU78" s="278" t="inlineStr"/>
      <c r="VTV78" s="278" t="inlineStr"/>
      <c r="VTW78" s="278" t="inlineStr"/>
      <c r="VTX78" s="278" t="inlineStr"/>
      <c r="VTY78" s="278" t="inlineStr"/>
      <c r="VTZ78" s="278" t="inlineStr"/>
      <c r="VUA78" s="278" t="inlineStr"/>
      <c r="VUB78" s="278" t="inlineStr"/>
      <c r="VUC78" s="278" t="inlineStr"/>
      <c r="VUD78" s="278" t="inlineStr"/>
      <c r="VUE78" s="278" t="inlineStr"/>
      <c r="VUF78" s="278" t="inlineStr"/>
      <c r="VUG78" s="278" t="inlineStr"/>
      <c r="VUH78" s="278" t="inlineStr"/>
      <c r="VUI78" s="278" t="inlineStr"/>
      <c r="VUJ78" s="278" t="inlineStr"/>
      <c r="VUK78" s="278" t="inlineStr"/>
      <c r="VUL78" s="278" t="inlineStr"/>
      <c r="VUM78" s="278" t="inlineStr"/>
      <c r="VUN78" s="278" t="inlineStr"/>
      <c r="VUO78" s="278" t="inlineStr"/>
      <c r="VUP78" s="278" t="inlineStr"/>
      <c r="VUQ78" s="278" t="inlineStr"/>
      <c r="VUR78" s="278" t="inlineStr"/>
      <c r="VUS78" s="278" t="inlineStr"/>
      <c r="VUT78" s="278" t="inlineStr"/>
      <c r="VUU78" s="278" t="inlineStr"/>
      <c r="VUV78" s="278" t="inlineStr"/>
      <c r="VUW78" s="278" t="inlineStr"/>
      <c r="VUX78" s="278" t="inlineStr"/>
      <c r="VUY78" s="278" t="inlineStr"/>
      <c r="VUZ78" s="278" t="inlineStr"/>
      <c r="VVA78" s="278" t="inlineStr"/>
      <c r="VVB78" s="278" t="inlineStr"/>
      <c r="VVC78" s="278" t="inlineStr"/>
      <c r="VVD78" s="278" t="inlineStr"/>
      <c r="VVE78" s="278" t="inlineStr"/>
      <c r="VVF78" s="278" t="inlineStr"/>
      <c r="VVG78" s="278" t="inlineStr"/>
      <c r="VVH78" s="278" t="inlineStr"/>
      <c r="VVI78" s="278" t="inlineStr"/>
      <c r="VVJ78" s="278" t="inlineStr"/>
      <c r="VVK78" s="278" t="inlineStr"/>
      <c r="VVL78" s="278" t="inlineStr"/>
      <c r="VVM78" s="278" t="inlineStr"/>
      <c r="VVN78" s="278" t="inlineStr"/>
      <c r="VVO78" s="278" t="inlineStr"/>
      <c r="VVP78" s="278" t="inlineStr"/>
      <c r="VVQ78" s="278" t="inlineStr"/>
      <c r="VVR78" s="278" t="inlineStr"/>
      <c r="VVS78" s="278" t="inlineStr"/>
      <c r="VVT78" s="278" t="inlineStr"/>
      <c r="VVU78" s="278" t="inlineStr"/>
      <c r="VVV78" s="278" t="inlineStr"/>
      <c r="VVW78" s="278" t="inlineStr"/>
      <c r="VVX78" s="278" t="inlineStr"/>
      <c r="VVY78" s="278" t="inlineStr"/>
      <c r="VVZ78" s="278" t="inlineStr"/>
      <c r="VWA78" s="278" t="inlineStr"/>
      <c r="VWB78" s="278" t="inlineStr"/>
      <c r="VWC78" s="278" t="inlineStr"/>
      <c r="VWD78" s="278" t="inlineStr"/>
      <c r="VWE78" s="278" t="inlineStr"/>
      <c r="VWF78" s="278" t="inlineStr"/>
      <c r="VWG78" s="278" t="inlineStr"/>
      <c r="VWH78" s="278" t="inlineStr"/>
      <c r="VWI78" s="278" t="inlineStr"/>
      <c r="VWJ78" s="278" t="inlineStr"/>
      <c r="VWK78" s="278" t="inlineStr"/>
      <c r="VWL78" s="278" t="inlineStr"/>
      <c r="VWM78" s="278" t="inlineStr"/>
      <c r="VWN78" s="278" t="inlineStr"/>
      <c r="VWO78" s="278" t="inlineStr"/>
      <c r="VWP78" s="278" t="inlineStr"/>
      <c r="VWQ78" s="278" t="inlineStr"/>
      <c r="VWR78" s="278" t="inlineStr"/>
      <c r="VWS78" s="278" t="inlineStr"/>
      <c r="VWT78" s="278" t="inlineStr"/>
      <c r="VWU78" s="278" t="inlineStr"/>
      <c r="VWV78" s="278" t="inlineStr"/>
      <c r="VWW78" s="278" t="inlineStr"/>
      <c r="VWX78" s="278" t="inlineStr"/>
      <c r="VWY78" s="278" t="inlineStr"/>
      <c r="VWZ78" s="278" t="inlineStr"/>
      <c r="VXA78" s="278" t="inlineStr"/>
      <c r="VXB78" s="278" t="inlineStr"/>
      <c r="VXC78" s="278" t="inlineStr"/>
      <c r="VXD78" s="278" t="inlineStr"/>
      <c r="VXE78" s="278" t="inlineStr"/>
      <c r="VXF78" s="278" t="inlineStr"/>
      <c r="VXG78" s="278" t="inlineStr"/>
      <c r="VXH78" s="278" t="inlineStr"/>
      <c r="VXI78" s="278" t="inlineStr"/>
      <c r="VXJ78" s="278" t="inlineStr"/>
      <c r="VXK78" s="278" t="inlineStr"/>
      <c r="VXL78" s="278" t="inlineStr"/>
      <c r="VXM78" s="278" t="inlineStr"/>
      <c r="VXN78" s="278" t="inlineStr"/>
      <c r="VXO78" s="278" t="inlineStr"/>
      <c r="VXP78" s="278" t="inlineStr"/>
      <c r="VXQ78" s="278" t="inlineStr"/>
      <c r="VXR78" s="278" t="inlineStr"/>
      <c r="VXS78" s="278" t="inlineStr"/>
      <c r="VXT78" s="278" t="inlineStr"/>
      <c r="VXU78" s="278" t="inlineStr"/>
      <c r="VXV78" s="278" t="inlineStr"/>
      <c r="VXW78" s="278" t="inlineStr"/>
      <c r="VXX78" s="278" t="inlineStr"/>
      <c r="VXY78" s="278" t="inlineStr"/>
      <c r="VXZ78" s="278" t="inlineStr"/>
      <c r="VYA78" s="278" t="inlineStr"/>
      <c r="VYB78" s="278" t="inlineStr"/>
      <c r="VYC78" s="278" t="inlineStr"/>
      <c r="VYD78" s="278" t="inlineStr"/>
      <c r="VYE78" s="278" t="inlineStr"/>
      <c r="VYF78" s="278" t="inlineStr"/>
      <c r="VYG78" s="278" t="inlineStr"/>
      <c r="VYH78" s="278" t="inlineStr"/>
      <c r="VYI78" s="278" t="inlineStr"/>
      <c r="VYJ78" s="278" t="inlineStr"/>
      <c r="VYK78" s="278" t="inlineStr"/>
      <c r="VYL78" s="278" t="inlineStr"/>
      <c r="VYM78" s="278" t="inlineStr"/>
      <c r="VYN78" s="278" t="inlineStr"/>
      <c r="VYO78" s="278" t="inlineStr"/>
      <c r="VYP78" s="278" t="inlineStr"/>
      <c r="VYQ78" s="278" t="inlineStr"/>
      <c r="VYR78" s="278" t="inlineStr"/>
      <c r="VYS78" s="278" t="inlineStr"/>
      <c r="VYT78" s="278" t="inlineStr"/>
      <c r="VYU78" s="278" t="inlineStr"/>
      <c r="VYV78" s="278" t="inlineStr"/>
      <c r="VYW78" s="278" t="inlineStr"/>
      <c r="VYX78" s="278" t="inlineStr"/>
      <c r="VYY78" s="278" t="inlineStr"/>
      <c r="VYZ78" s="278" t="inlineStr"/>
      <c r="VZA78" s="278" t="inlineStr"/>
      <c r="VZB78" s="278" t="inlineStr"/>
      <c r="VZC78" s="278" t="inlineStr"/>
      <c r="VZD78" s="278" t="inlineStr"/>
      <c r="VZE78" s="278" t="inlineStr"/>
      <c r="VZF78" s="278" t="inlineStr"/>
      <c r="VZG78" s="278" t="inlineStr"/>
      <c r="VZH78" s="278" t="inlineStr"/>
      <c r="VZI78" s="278" t="inlineStr"/>
      <c r="VZJ78" s="278" t="inlineStr"/>
      <c r="VZK78" s="278" t="inlineStr"/>
      <c r="VZL78" s="278" t="inlineStr"/>
      <c r="VZM78" s="278" t="inlineStr"/>
      <c r="VZN78" s="278" t="inlineStr"/>
      <c r="VZO78" s="278" t="inlineStr"/>
      <c r="VZP78" s="278" t="inlineStr"/>
      <c r="VZQ78" s="278" t="inlineStr"/>
      <c r="VZR78" s="278" t="inlineStr"/>
      <c r="VZS78" s="278" t="inlineStr"/>
      <c r="VZT78" s="278" t="inlineStr"/>
      <c r="VZU78" s="278" t="inlineStr"/>
      <c r="VZV78" s="278" t="inlineStr"/>
      <c r="VZW78" s="278" t="inlineStr"/>
      <c r="VZX78" s="278" t="inlineStr"/>
      <c r="VZY78" s="278" t="inlineStr"/>
      <c r="VZZ78" s="278" t="inlineStr"/>
      <c r="WAA78" s="278" t="inlineStr"/>
      <c r="WAB78" s="278" t="inlineStr"/>
      <c r="WAC78" s="278" t="inlineStr"/>
      <c r="WAD78" s="278" t="inlineStr"/>
      <c r="WAE78" s="278" t="inlineStr"/>
      <c r="WAF78" s="278" t="inlineStr"/>
      <c r="WAG78" s="278" t="inlineStr"/>
      <c r="WAH78" s="278" t="inlineStr"/>
      <c r="WAI78" s="278" t="inlineStr"/>
      <c r="WAJ78" s="278" t="inlineStr"/>
      <c r="WAK78" s="278" t="inlineStr"/>
      <c r="WAL78" s="278" t="inlineStr"/>
      <c r="WAM78" s="278" t="inlineStr"/>
      <c r="WAN78" s="278" t="inlineStr"/>
      <c r="WAO78" s="278" t="inlineStr"/>
      <c r="WAP78" s="278" t="inlineStr"/>
      <c r="WAQ78" s="278" t="inlineStr"/>
      <c r="WAR78" s="278" t="inlineStr"/>
      <c r="WAS78" s="278" t="inlineStr"/>
      <c r="WAT78" s="278" t="inlineStr"/>
      <c r="WAU78" s="278" t="inlineStr"/>
      <c r="WAV78" s="278" t="inlineStr"/>
      <c r="WAW78" s="278" t="inlineStr"/>
      <c r="WAX78" s="278" t="inlineStr"/>
      <c r="WAY78" s="278" t="inlineStr"/>
      <c r="WAZ78" s="278" t="inlineStr"/>
      <c r="WBA78" s="278" t="inlineStr"/>
      <c r="WBB78" s="278" t="inlineStr"/>
      <c r="WBC78" s="278" t="inlineStr"/>
      <c r="WBD78" s="278" t="inlineStr"/>
      <c r="WBE78" s="278" t="inlineStr"/>
      <c r="WBF78" s="278" t="inlineStr"/>
      <c r="WBG78" s="278" t="inlineStr"/>
      <c r="WBH78" s="278" t="inlineStr"/>
      <c r="WBI78" s="278" t="inlineStr"/>
      <c r="WBJ78" s="278" t="inlineStr"/>
      <c r="WBK78" s="278" t="inlineStr"/>
      <c r="WBL78" s="278" t="inlineStr"/>
      <c r="WBM78" s="278" t="inlineStr"/>
      <c r="WBN78" s="278" t="inlineStr"/>
      <c r="WBO78" s="278" t="inlineStr"/>
      <c r="WBP78" s="278" t="inlineStr"/>
      <c r="WBQ78" s="278" t="inlineStr"/>
      <c r="WBR78" s="278" t="inlineStr"/>
      <c r="WBS78" s="278" t="inlineStr"/>
      <c r="WBT78" s="278" t="inlineStr"/>
      <c r="WBU78" s="278" t="inlineStr"/>
      <c r="WBV78" s="278" t="inlineStr"/>
      <c r="WBW78" s="278" t="inlineStr"/>
      <c r="WBX78" s="278" t="inlineStr"/>
      <c r="WBY78" s="278" t="inlineStr"/>
      <c r="WBZ78" s="278" t="inlineStr"/>
      <c r="WCA78" s="278" t="inlineStr"/>
      <c r="WCB78" s="278" t="inlineStr"/>
      <c r="WCC78" s="278" t="inlineStr"/>
      <c r="WCD78" s="278" t="inlineStr"/>
      <c r="WCE78" s="278" t="inlineStr"/>
      <c r="WCF78" s="278" t="inlineStr"/>
      <c r="WCG78" s="278" t="inlineStr"/>
      <c r="WCH78" s="278" t="inlineStr"/>
      <c r="WCI78" s="278" t="inlineStr"/>
      <c r="WCJ78" s="278" t="inlineStr"/>
      <c r="WCK78" s="278" t="inlineStr"/>
      <c r="WCL78" s="278" t="inlineStr"/>
      <c r="WCM78" s="278" t="inlineStr"/>
      <c r="WCN78" s="278" t="inlineStr"/>
      <c r="WCO78" s="278" t="inlineStr"/>
      <c r="WCP78" s="278" t="inlineStr"/>
      <c r="WCQ78" s="278" t="inlineStr"/>
      <c r="WCR78" s="278" t="inlineStr"/>
      <c r="WCS78" s="278" t="inlineStr"/>
      <c r="WCT78" s="278" t="inlineStr"/>
      <c r="WCU78" s="278" t="inlineStr"/>
      <c r="WCV78" s="278" t="inlineStr"/>
      <c r="WCW78" s="278" t="inlineStr"/>
      <c r="WCX78" s="278" t="inlineStr"/>
      <c r="WCY78" s="278" t="inlineStr"/>
      <c r="WCZ78" s="278" t="inlineStr"/>
      <c r="WDA78" s="278" t="inlineStr"/>
      <c r="WDB78" s="278" t="inlineStr"/>
      <c r="WDC78" s="278" t="inlineStr"/>
      <c r="WDD78" s="278" t="inlineStr"/>
      <c r="WDE78" s="278" t="inlineStr"/>
      <c r="WDF78" s="278" t="inlineStr"/>
      <c r="WDG78" s="278" t="inlineStr"/>
      <c r="WDH78" s="278" t="inlineStr"/>
      <c r="WDI78" s="278" t="inlineStr"/>
      <c r="WDJ78" s="278" t="inlineStr"/>
      <c r="WDK78" s="278" t="inlineStr"/>
      <c r="WDL78" s="278" t="inlineStr"/>
      <c r="WDM78" s="278" t="inlineStr"/>
      <c r="WDN78" s="278" t="inlineStr"/>
      <c r="WDO78" s="278" t="inlineStr"/>
      <c r="WDP78" s="278" t="inlineStr"/>
      <c r="WDQ78" s="278" t="inlineStr"/>
      <c r="WDR78" s="278" t="inlineStr"/>
      <c r="WDS78" s="278" t="inlineStr"/>
      <c r="WDT78" s="278" t="inlineStr"/>
      <c r="WDU78" s="278" t="inlineStr"/>
      <c r="WDV78" s="278" t="inlineStr"/>
      <c r="WDW78" s="278" t="inlineStr"/>
      <c r="WDX78" s="278" t="inlineStr"/>
      <c r="WDY78" s="278" t="inlineStr"/>
      <c r="WDZ78" s="278" t="inlineStr"/>
      <c r="WEA78" s="278" t="inlineStr"/>
      <c r="WEB78" s="278" t="inlineStr"/>
      <c r="WEC78" s="278" t="inlineStr"/>
      <c r="WED78" s="278" t="inlineStr"/>
      <c r="WEE78" s="278" t="inlineStr"/>
      <c r="WEF78" s="278" t="inlineStr"/>
      <c r="WEG78" s="278" t="inlineStr"/>
      <c r="WEH78" s="278" t="inlineStr"/>
      <c r="WEI78" s="278" t="inlineStr"/>
      <c r="WEJ78" s="278" t="inlineStr"/>
      <c r="WEK78" s="278" t="inlineStr"/>
      <c r="WEL78" s="278" t="inlineStr"/>
      <c r="WEM78" s="278" t="inlineStr"/>
      <c r="WEN78" s="278" t="inlineStr"/>
      <c r="WEO78" s="278" t="inlineStr"/>
      <c r="WEP78" s="278" t="inlineStr"/>
      <c r="WEQ78" s="278" t="inlineStr"/>
      <c r="WER78" s="278" t="inlineStr"/>
      <c r="WES78" s="278" t="inlineStr"/>
      <c r="WET78" s="278" t="inlineStr"/>
      <c r="WEU78" s="278" t="inlineStr"/>
      <c r="WEV78" s="278" t="inlineStr"/>
      <c r="WEW78" s="278" t="inlineStr"/>
      <c r="WEX78" s="278" t="inlineStr"/>
      <c r="WEY78" s="278" t="inlineStr"/>
      <c r="WEZ78" s="278" t="inlineStr"/>
      <c r="WFA78" s="278" t="inlineStr"/>
      <c r="WFB78" s="278" t="inlineStr"/>
      <c r="WFC78" s="278" t="inlineStr"/>
      <c r="WFD78" s="278" t="inlineStr"/>
      <c r="WFE78" s="278" t="inlineStr"/>
      <c r="WFF78" s="278" t="inlineStr"/>
      <c r="WFG78" s="278" t="inlineStr"/>
      <c r="WFH78" s="278" t="inlineStr"/>
      <c r="WFI78" s="278" t="inlineStr"/>
      <c r="WFJ78" s="278" t="inlineStr"/>
      <c r="WFK78" s="278" t="inlineStr"/>
      <c r="WFL78" s="278" t="inlineStr"/>
      <c r="WFM78" s="278" t="inlineStr"/>
      <c r="WFN78" s="278" t="inlineStr"/>
      <c r="WFO78" s="278" t="inlineStr"/>
      <c r="WFP78" s="278" t="inlineStr"/>
      <c r="WFQ78" s="278" t="inlineStr"/>
      <c r="WFR78" s="278" t="inlineStr"/>
      <c r="WFS78" s="278" t="inlineStr"/>
      <c r="WFT78" s="278" t="inlineStr"/>
      <c r="WFU78" s="278" t="inlineStr"/>
      <c r="WFV78" s="278" t="inlineStr"/>
      <c r="WFW78" s="278" t="inlineStr"/>
      <c r="WFX78" s="278" t="inlineStr"/>
      <c r="WFY78" s="278" t="inlineStr"/>
      <c r="WFZ78" s="278" t="inlineStr"/>
      <c r="WGA78" s="278" t="inlineStr"/>
      <c r="WGB78" s="278" t="inlineStr"/>
      <c r="WGC78" s="278" t="inlineStr"/>
      <c r="WGD78" s="278" t="inlineStr"/>
      <c r="WGE78" s="278" t="inlineStr"/>
      <c r="WGF78" s="278" t="inlineStr"/>
      <c r="WGG78" s="278" t="inlineStr"/>
      <c r="WGH78" s="278" t="inlineStr"/>
      <c r="WGI78" s="278" t="inlineStr"/>
      <c r="WGJ78" s="278" t="inlineStr"/>
      <c r="WGK78" s="278" t="inlineStr"/>
      <c r="WGL78" s="278" t="inlineStr"/>
      <c r="WGM78" s="278" t="inlineStr"/>
      <c r="WGN78" s="278" t="inlineStr"/>
      <c r="WGO78" s="278" t="inlineStr"/>
      <c r="WGP78" s="278" t="inlineStr"/>
      <c r="WGQ78" s="278" t="inlineStr"/>
      <c r="WGR78" s="278" t="inlineStr"/>
      <c r="WGS78" s="278" t="inlineStr"/>
      <c r="WGT78" s="278" t="inlineStr"/>
      <c r="WGU78" s="278" t="inlineStr"/>
      <c r="WGV78" s="278" t="inlineStr"/>
      <c r="WGW78" s="278" t="inlineStr"/>
      <c r="WGX78" s="278" t="inlineStr"/>
      <c r="WGY78" s="278" t="inlineStr"/>
      <c r="WGZ78" s="278" t="inlineStr"/>
      <c r="WHA78" s="278" t="inlineStr"/>
      <c r="WHB78" s="278" t="inlineStr"/>
      <c r="WHC78" s="278" t="inlineStr"/>
      <c r="WHD78" s="278" t="inlineStr"/>
      <c r="WHE78" s="278" t="inlineStr"/>
      <c r="WHF78" s="278" t="inlineStr"/>
      <c r="WHG78" s="278" t="inlineStr"/>
      <c r="WHH78" s="278" t="inlineStr"/>
      <c r="WHI78" s="278" t="inlineStr"/>
      <c r="WHJ78" s="278" t="inlineStr"/>
      <c r="WHK78" s="278" t="inlineStr"/>
      <c r="WHL78" s="278" t="inlineStr"/>
      <c r="WHM78" s="278" t="inlineStr"/>
      <c r="WHN78" s="278" t="inlineStr"/>
      <c r="WHO78" s="278" t="inlineStr"/>
      <c r="WHP78" s="278" t="inlineStr"/>
      <c r="WHQ78" s="278" t="inlineStr"/>
      <c r="WHR78" s="278" t="inlineStr"/>
      <c r="WHS78" s="278" t="inlineStr"/>
      <c r="WHT78" s="278" t="inlineStr"/>
      <c r="WHU78" s="278" t="inlineStr"/>
      <c r="WHV78" s="278" t="inlineStr"/>
      <c r="WHW78" s="278" t="inlineStr"/>
      <c r="WHX78" s="278" t="inlineStr"/>
      <c r="WHY78" s="278" t="inlineStr"/>
      <c r="WHZ78" s="278" t="inlineStr"/>
      <c r="WIA78" s="278" t="inlineStr"/>
      <c r="WIB78" s="278" t="inlineStr"/>
      <c r="WIC78" s="278" t="inlineStr"/>
      <c r="WID78" s="278" t="inlineStr"/>
      <c r="WIE78" s="278" t="inlineStr"/>
      <c r="WIF78" s="278" t="inlineStr"/>
      <c r="WIG78" s="278" t="inlineStr"/>
      <c r="WIH78" s="278" t="inlineStr"/>
      <c r="WII78" s="278" t="inlineStr"/>
      <c r="WIJ78" s="278" t="inlineStr"/>
      <c r="WIK78" s="278" t="inlineStr"/>
      <c r="WIL78" s="278" t="inlineStr"/>
      <c r="WIM78" s="278" t="inlineStr"/>
      <c r="WIN78" s="278" t="inlineStr"/>
      <c r="WIO78" s="278" t="inlineStr"/>
      <c r="WIP78" s="278" t="inlineStr"/>
      <c r="WIQ78" s="278" t="inlineStr"/>
      <c r="WIR78" s="278" t="inlineStr"/>
      <c r="WIS78" s="278" t="inlineStr"/>
      <c r="WIT78" s="278" t="inlineStr"/>
      <c r="WIU78" s="278" t="inlineStr"/>
      <c r="WIV78" s="278" t="inlineStr"/>
      <c r="WIW78" s="278" t="inlineStr"/>
      <c r="WIX78" s="278" t="inlineStr"/>
      <c r="WIY78" s="278" t="inlineStr"/>
      <c r="WIZ78" s="278" t="inlineStr"/>
      <c r="WJA78" s="278" t="inlineStr"/>
      <c r="WJB78" s="278" t="inlineStr"/>
      <c r="WJC78" s="278" t="inlineStr"/>
      <c r="WJD78" s="278" t="inlineStr"/>
      <c r="WJE78" s="278" t="inlineStr"/>
      <c r="WJF78" s="278" t="inlineStr"/>
      <c r="WJG78" s="278" t="inlineStr"/>
      <c r="WJH78" s="278" t="inlineStr"/>
      <c r="WJI78" s="278" t="inlineStr"/>
      <c r="WJJ78" s="278" t="inlineStr"/>
      <c r="WJK78" s="278" t="inlineStr"/>
      <c r="WJL78" s="278" t="inlineStr"/>
      <c r="WJM78" s="278" t="inlineStr"/>
      <c r="WJN78" s="278" t="inlineStr"/>
      <c r="WJO78" s="278" t="inlineStr"/>
      <c r="WJP78" s="278" t="inlineStr"/>
      <c r="WJQ78" s="278" t="inlineStr"/>
      <c r="WJR78" s="278" t="inlineStr"/>
      <c r="WJS78" s="278" t="inlineStr"/>
      <c r="WJT78" s="278" t="inlineStr"/>
      <c r="WJU78" s="278" t="inlineStr"/>
      <c r="WJV78" s="278" t="inlineStr"/>
      <c r="WJW78" s="278" t="inlineStr"/>
      <c r="WJX78" s="278" t="inlineStr"/>
      <c r="WJY78" s="278" t="inlineStr"/>
      <c r="WJZ78" s="278" t="inlineStr"/>
      <c r="WKA78" s="278" t="inlineStr"/>
      <c r="WKB78" s="278" t="inlineStr"/>
      <c r="WKC78" s="278" t="inlineStr"/>
      <c r="WKD78" s="278" t="inlineStr"/>
      <c r="WKE78" s="278" t="inlineStr"/>
      <c r="WKF78" s="278" t="inlineStr"/>
      <c r="WKG78" s="278" t="inlineStr"/>
      <c r="WKH78" s="278" t="inlineStr"/>
      <c r="WKI78" s="278" t="inlineStr"/>
      <c r="WKJ78" s="278" t="inlineStr"/>
      <c r="WKK78" s="278" t="inlineStr"/>
      <c r="WKL78" s="278" t="inlineStr"/>
      <c r="WKM78" s="278" t="inlineStr"/>
      <c r="WKN78" s="278" t="inlineStr"/>
      <c r="WKO78" s="278" t="inlineStr"/>
      <c r="WKP78" s="278" t="inlineStr"/>
      <c r="WKQ78" s="278" t="inlineStr"/>
      <c r="WKR78" s="278" t="inlineStr"/>
      <c r="WKS78" s="278" t="inlineStr"/>
      <c r="WKT78" s="278" t="inlineStr"/>
      <c r="WKU78" s="278" t="inlineStr"/>
      <c r="WKV78" s="278" t="inlineStr"/>
      <c r="WKW78" s="278" t="inlineStr"/>
      <c r="WKX78" s="278" t="inlineStr"/>
      <c r="WKY78" s="278" t="inlineStr"/>
      <c r="WKZ78" s="278" t="inlineStr"/>
      <c r="WLA78" s="278" t="inlineStr"/>
      <c r="WLB78" s="278" t="inlineStr"/>
      <c r="WLC78" s="278" t="inlineStr"/>
      <c r="WLD78" s="278" t="inlineStr"/>
      <c r="WLE78" s="278" t="inlineStr"/>
      <c r="WLF78" s="278" t="inlineStr"/>
      <c r="WLG78" s="278" t="inlineStr"/>
      <c r="WLH78" s="278" t="inlineStr"/>
      <c r="WLI78" s="278" t="inlineStr"/>
      <c r="WLJ78" s="278" t="inlineStr"/>
      <c r="WLK78" s="278" t="inlineStr"/>
      <c r="WLL78" s="278" t="inlineStr"/>
      <c r="WLM78" s="278" t="inlineStr"/>
      <c r="WLN78" s="278" t="inlineStr"/>
      <c r="WLO78" s="278" t="inlineStr"/>
      <c r="WLP78" s="278" t="inlineStr"/>
      <c r="WLQ78" s="278" t="inlineStr"/>
      <c r="WLR78" s="278" t="inlineStr"/>
      <c r="WLS78" s="278" t="inlineStr"/>
      <c r="WLT78" s="278" t="inlineStr"/>
      <c r="WLU78" s="278" t="inlineStr"/>
      <c r="WLV78" s="278" t="inlineStr"/>
      <c r="WLW78" s="278" t="inlineStr"/>
      <c r="WLX78" s="278" t="inlineStr"/>
      <c r="WLY78" s="278" t="inlineStr"/>
      <c r="WLZ78" s="278" t="inlineStr"/>
      <c r="WMA78" s="278" t="inlineStr"/>
      <c r="WMB78" s="278" t="inlineStr"/>
      <c r="WMC78" s="278" t="inlineStr"/>
      <c r="WMD78" s="278" t="inlineStr"/>
      <c r="WME78" s="278" t="inlineStr"/>
      <c r="WMF78" s="278" t="inlineStr"/>
      <c r="WMG78" s="278" t="inlineStr"/>
      <c r="WMH78" s="278" t="inlineStr"/>
      <c r="WMI78" s="278" t="inlineStr"/>
      <c r="WMJ78" s="278" t="inlineStr"/>
      <c r="WMK78" s="278" t="inlineStr"/>
      <c r="WML78" s="278" t="inlineStr"/>
      <c r="WMM78" s="278" t="inlineStr"/>
      <c r="WMN78" s="278" t="inlineStr"/>
      <c r="WMO78" s="278" t="inlineStr"/>
      <c r="WMP78" s="278" t="inlineStr"/>
      <c r="WMQ78" s="278" t="inlineStr"/>
      <c r="WMR78" s="278" t="inlineStr"/>
      <c r="WMS78" s="278" t="inlineStr"/>
      <c r="WMT78" s="278" t="inlineStr"/>
      <c r="WMU78" s="278" t="inlineStr"/>
      <c r="WMV78" s="278" t="inlineStr"/>
      <c r="WMW78" s="278" t="inlineStr"/>
      <c r="WMX78" s="278" t="inlineStr"/>
      <c r="WMY78" s="278" t="inlineStr"/>
      <c r="WMZ78" s="278" t="inlineStr"/>
      <c r="WNA78" s="278" t="inlineStr"/>
      <c r="WNB78" s="278" t="inlineStr"/>
      <c r="WNC78" s="278" t="inlineStr"/>
      <c r="WND78" s="278" t="inlineStr"/>
      <c r="WNE78" s="278" t="inlineStr"/>
      <c r="WNF78" s="278" t="inlineStr"/>
      <c r="WNG78" s="278" t="inlineStr"/>
      <c r="WNH78" s="278" t="inlineStr"/>
      <c r="WNI78" s="278" t="inlineStr"/>
      <c r="WNJ78" s="278" t="inlineStr"/>
      <c r="WNK78" s="278" t="inlineStr"/>
      <c r="WNL78" s="278" t="inlineStr"/>
      <c r="WNM78" s="278" t="inlineStr"/>
      <c r="WNN78" s="278" t="inlineStr"/>
      <c r="WNO78" s="278" t="inlineStr"/>
      <c r="WNP78" s="278" t="inlineStr"/>
      <c r="WNQ78" s="278" t="inlineStr"/>
      <c r="WNR78" s="278" t="inlineStr"/>
      <c r="WNS78" s="278" t="inlineStr"/>
      <c r="WNT78" s="278" t="inlineStr"/>
      <c r="WNU78" s="278" t="inlineStr"/>
      <c r="WNV78" s="278" t="inlineStr"/>
      <c r="WNW78" s="278" t="inlineStr"/>
      <c r="WNX78" s="278" t="inlineStr"/>
      <c r="WNY78" s="278" t="inlineStr"/>
      <c r="WNZ78" s="278" t="inlineStr"/>
      <c r="WOA78" s="278" t="inlineStr"/>
      <c r="WOB78" s="278" t="inlineStr"/>
      <c r="WOC78" s="278" t="inlineStr"/>
      <c r="WOD78" s="278" t="inlineStr"/>
      <c r="WOE78" s="278" t="inlineStr"/>
      <c r="WOF78" s="278" t="inlineStr"/>
      <c r="WOG78" s="278" t="inlineStr"/>
      <c r="WOH78" s="278" t="inlineStr"/>
      <c r="WOI78" s="278" t="inlineStr"/>
      <c r="WOJ78" s="278" t="inlineStr"/>
      <c r="WOK78" s="278" t="inlineStr"/>
      <c r="WOL78" s="278" t="inlineStr"/>
      <c r="WOM78" s="278" t="inlineStr"/>
      <c r="WON78" s="278" t="inlineStr"/>
      <c r="WOO78" s="278" t="inlineStr"/>
      <c r="WOP78" s="278" t="inlineStr"/>
      <c r="WOQ78" s="278" t="inlineStr"/>
      <c r="WOR78" s="278" t="inlineStr"/>
      <c r="WOS78" s="278" t="inlineStr"/>
      <c r="WOT78" s="278" t="inlineStr"/>
      <c r="WOU78" s="278" t="inlineStr"/>
      <c r="WOV78" s="278" t="inlineStr"/>
      <c r="WOW78" s="278" t="inlineStr"/>
      <c r="WOX78" s="278" t="inlineStr"/>
      <c r="WOY78" s="278" t="inlineStr"/>
      <c r="WOZ78" s="278" t="inlineStr"/>
      <c r="WPA78" s="278" t="inlineStr"/>
      <c r="WPB78" s="278" t="inlineStr"/>
      <c r="WPC78" s="278" t="inlineStr"/>
      <c r="WPD78" s="278" t="inlineStr"/>
      <c r="WPE78" s="278" t="inlineStr"/>
      <c r="WPF78" s="278" t="inlineStr"/>
      <c r="WPG78" s="278" t="inlineStr"/>
      <c r="WPH78" s="278" t="inlineStr"/>
      <c r="WPI78" s="278" t="inlineStr"/>
      <c r="WPJ78" s="278" t="inlineStr"/>
      <c r="WPK78" s="278" t="inlineStr"/>
      <c r="WPL78" s="278" t="inlineStr"/>
      <c r="WPM78" s="278" t="inlineStr"/>
      <c r="WPN78" s="278" t="inlineStr"/>
      <c r="WPO78" s="278" t="inlineStr"/>
      <c r="WPP78" s="278" t="inlineStr"/>
      <c r="WPQ78" s="278" t="inlineStr"/>
      <c r="WPR78" s="278" t="inlineStr"/>
      <c r="WPS78" s="278" t="inlineStr"/>
      <c r="WPT78" s="278" t="inlineStr"/>
      <c r="WPU78" s="278" t="inlineStr"/>
      <c r="WPV78" s="278" t="inlineStr"/>
      <c r="WPW78" s="278" t="inlineStr"/>
      <c r="WPX78" s="278" t="inlineStr"/>
      <c r="WPY78" s="278" t="inlineStr"/>
      <c r="WPZ78" s="278" t="inlineStr"/>
      <c r="WQA78" s="278" t="inlineStr"/>
      <c r="WQB78" s="278" t="inlineStr"/>
      <c r="WQC78" s="278" t="inlineStr"/>
      <c r="WQD78" s="278" t="inlineStr"/>
      <c r="WQE78" s="278" t="inlineStr"/>
      <c r="WQF78" s="278" t="inlineStr"/>
      <c r="WQG78" s="278" t="inlineStr"/>
      <c r="WQH78" s="278" t="inlineStr"/>
      <c r="WQI78" s="278" t="inlineStr"/>
      <c r="WQJ78" s="278" t="inlineStr"/>
      <c r="WQK78" s="278" t="inlineStr"/>
      <c r="WQL78" s="278" t="inlineStr"/>
      <c r="WQM78" s="278" t="inlineStr"/>
      <c r="WQN78" s="278" t="inlineStr"/>
      <c r="WQO78" s="278" t="inlineStr"/>
      <c r="WQP78" s="278" t="inlineStr"/>
      <c r="WQQ78" s="278" t="inlineStr"/>
      <c r="WQR78" s="278" t="inlineStr"/>
      <c r="WQS78" s="278" t="inlineStr"/>
      <c r="WQT78" s="278" t="inlineStr"/>
      <c r="WQU78" s="278" t="inlineStr"/>
      <c r="WQV78" s="278" t="inlineStr"/>
      <c r="WQW78" s="278" t="inlineStr"/>
      <c r="WQX78" s="278" t="inlineStr"/>
      <c r="WQY78" s="278" t="inlineStr"/>
      <c r="WQZ78" s="278" t="inlineStr"/>
      <c r="WRA78" s="278" t="inlineStr"/>
      <c r="WRB78" s="278" t="inlineStr"/>
      <c r="WRC78" s="278" t="inlineStr"/>
      <c r="WRD78" s="278" t="inlineStr"/>
      <c r="WRE78" s="278" t="inlineStr"/>
      <c r="WRF78" s="278" t="inlineStr"/>
      <c r="WRG78" s="278" t="inlineStr"/>
      <c r="WRH78" s="278" t="inlineStr"/>
      <c r="WRI78" s="278" t="inlineStr"/>
      <c r="WRJ78" s="278" t="inlineStr"/>
      <c r="WRK78" s="278" t="inlineStr"/>
      <c r="WRL78" s="278" t="inlineStr"/>
      <c r="WRM78" s="278" t="inlineStr"/>
      <c r="WRN78" s="278" t="inlineStr"/>
      <c r="WRO78" s="278" t="inlineStr"/>
      <c r="WRP78" s="278" t="inlineStr"/>
      <c r="WRQ78" s="278" t="inlineStr"/>
      <c r="WRR78" s="278" t="inlineStr"/>
      <c r="WRS78" s="278" t="inlineStr"/>
      <c r="WRT78" s="278" t="inlineStr"/>
      <c r="WRU78" s="278" t="inlineStr"/>
      <c r="WRV78" s="278" t="inlineStr"/>
      <c r="WRW78" s="278" t="inlineStr"/>
      <c r="WRX78" s="278" t="inlineStr"/>
      <c r="WRY78" s="278" t="inlineStr"/>
      <c r="WRZ78" s="278" t="inlineStr"/>
      <c r="WSA78" s="278" t="inlineStr"/>
      <c r="WSB78" s="278" t="inlineStr"/>
      <c r="WSC78" s="278" t="inlineStr"/>
      <c r="WSD78" s="278" t="inlineStr"/>
      <c r="WSE78" s="278" t="inlineStr"/>
      <c r="WSF78" s="278" t="inlineStr"/>
      <c r="WSG78" s="278" t="inlineStr"/>
      <c r="WSH78" s="278" t="inlineStr"/>
      <c r="WSI78" s="278" t="inlineStr"/>
      <c r="WSJ78" s="278" t="inlineStr"/>
      <c r="WSK78" s="278" t="inlineStr"/>
      <c r="WSL78" s="278" t="inlineStr"/>
      <c r="WSM78" s="278" t="inlineStr"/>
      <c r="WSN78" s="278" t="inlineStr"/>
      <c r="WSO78" s="278" t="inlineStr"/>
      <c r="WSP78" s="278" t="inlineStr"/>
      <c r="WSQ78" s="278" t="inlineStr"/>
      <c r="WSR78" s="278" t="inlineStr"/>
      <c r="WSS78" s="278" t="inlineStr"/>
      <c r="WST78" s="278" t="inlineStr"/>
      <c r="WSU78" s="278" t="inlineStr"/>
      <c r="WSV78" s="278" t="inlineStr"/>
      <c r="WSW78" s="278" t="inlineStr"/>
      <c r="WSX78" s="278" t="inlineStr"/>
      <c r="WSY78" s="278" t="inlineStr"/>
      <c r="WSZ78" s="278" t="inlineStr"/>
      <c r="WTA78" s="278" t="inlineStr"/>
      <c r="WTB78" s="278" t="inlineStr"/>
      <c r="WTC78" s="278" t="inlineStr"/>
      <c r="WTD78" s="278" t="inlineStr"/>
      <c r="WTE78" s="278" t="inlineStr"/>
      <c r="WTF78" s="278" t="inlineStr"/>
      <c r="WTG78" s="278" t="inlineStr"/>
      <c r="WTH78" s="278" t="inlineStr"/>
      <c r="WTI78" s="278" t="inlineStr"/>
      <c r="WTJ78" s="278" t="inlineStr"/>
      <c r="WTK78" s="278" t="inlineStr"/>
      <c r="WTL78" s="278" t="inlineStr"/>
      <c r="WTM78" s="278" t="inlineStr"/>
      <c r="WTN78" s="278" t="inlineStr"/>
      <c r="WTO78" s="278" t="inlineStr"/>
      <c r="WTP78" s="278" t="inlineStr"/>
      <c r="WTQ78" s="278" t="inlineStr"/>
      <c r="WTR78" s="278" t="inlineStr"/>
      <c r="WTS78" s="278" t="inlineStr"/>
      <c r="WTT78" s="278" t="inlineStr"/>
      <c r="WTU78" s="278" t="inlineStr"/>
      <c r="WTV78" s="278" t="inlineStr"/>
      <c r="WTW78" s="278" t="inlineStr"/>
      <c r="WTX78" s="278" t="inlineStr"/>
      <c r="WTY78" s="278" t="inlineStr"/>
      <c r="WTZ78" s="278" t="inlineStr"/>
      <c r="WUA78" s="278" t="inlineStr"/>
      <c r="WUB78" s="278" t="inlineStr"/>
      <c r="WUC78" s="278" t="inlineStr"/>
      <c r="WUD78" s="278" t="inlineStr"/>
      <c r="WUE78" s="278" t="inlineStr"/>
      <c r="WUF78" s="278" t="inlineStr"/>
      <c r="WUG78" s="278" t="inlineStr"/>
      <c r="WUH78" s="278" t="inlineStr"/>
      <c r="WUI78" s="278" t="inlineStr"/>
      <c r="WUJ78" s="278" t="inlineStr"/>
      <c r="WUK78" s="278" t="inlineStr"/>
      <c r="WUL78" s="278" t="inlineStr"/>
      <c r="WUM78" s="278" t="inlineStr"/>
      <c r="WUN78" s="278" t="inlineStr"/>
      <c r="WUO78" s="278" t="inlineStr"/>
      <c r="WUP78" s="278" t="inlineStr"/>
      <c r="WUQ78" s="278" t="inlineStr"/>
      <c r="WUR78" s="278" t="inlineStr"/>
      <c r="WUS78" s="278" t="inlineStr"/>
      <c r="WUT78" s="278" t="inlineStr"/>
      <c r="WUU78" s="278" t="inlineStr"/>
      <c r="WUV78" s="278" t="inlineStr"/>
      <c r="WUW78" s="278" t="inlineStr"/>
      <c r="WUX78" s="278" t="inlineStr"/>
      <c r="WUY78" s="278" t="inlineStr"/>
      <c r="WUZ78" s="278" t="inlineStr"/>
      <c r="WVA78" s="278" t="inlineStr"/>
      <c r="WVB78" s="278" t="inlineStr"/>
      <c r="WVC78" s="278" t="inlineStr"/>
      <c r="WVD78" s="278" t="inlineStr"/>
      <c r="WVE78" s="278" t="inlineStr"/>
      <c r="WVF78" s="278" t="inlineStr"/>
      <c r="WVG78" s="278" t="inlineStr"/>
      <c r="WVH78" s="278" t="inlineStr"/>
      <c r="WVI78" s="278" t="inlineStr"/>
      <c r="WVJ78" s="278" t="inlineStr"/>
      <c r="WVK78" s="278" t="inlineStr"/>
      <c r="WVL78" s="278" t="inlineStr"/>
      <c r="WVM78" s="278" t="inlineStr"/>
      <c r="WVN78" s="278" t="inlineStr"/>
      <c r="WVO78" s="278" t="inlineStr"/>
      <c r="WVP78" s="278" t="inlineStr"/>
      <c r="WVQ78" s="278" t="inlineStr"/>
      <c r="WVR78" s="278" t="inlineStr"/>
      <c r="WVS78" s="278" t="inlineStr"/>
      <c r="WVT78" s="278" t="inlineStr"/>
      <c r="WVU78" s="278" t="inlineStr"/>
      <c r="WVV78" s="278" t="inlineStr"/>
      <c r="WVW78" s="278" t="inlineStr"/>
      <c r="WVX78" s="278" t="inlineStr"/>
      <c r="WVY78" s="278" t="inlineStr"/>
      <c r="WVZ78" s="278" t="inlineStr"/>
      <c r="WWA78" s="278" t="inlineStr"/>
      <c r="WWB78" s="278" t="inlineStr"/>
      <c r="WWC78" s="278" t="inlineStr"/>
      <c r="WWD78" s="278" t="inlineStr"/>
      <c r="WWE78" s="278" t="inlineStr"/>
      <c r="WWF78" s="278" t="inlineStr"/>
      <c r="WWG78" s="278" t="inlineStr"/>
      <c r="WWH78" s="278" t="inlineStr"/>
      <c r="WWI78" s="278" t="inlineStr"/>
      <c r="WWJ78" s="278" t="inlineStr"/>
      <c r="WWK78" s="278" t="inlineStr"/>
      <c r="WWL78" s="278" t="inlineStr"/>
      <c r="WWM78" s="278" t="inlineStr"/>
      <c r="WWN78" s="278" t="inlineStr"/>
      <c r="WWO78" s="278" t="inlineStr"/>
      <c r="WWP78" s="278" t="inlineStr"/>
      <c r="WWQ78" s="278" t="inlineStr"/>
      <c r="WWR78" s="278" t="inlineStr"/>
      <c r="WWS78" s="278" t="inlineStr"/>
      <c r="WWT78" s="278" t="inlineStr"/>
      <c r="WWU78" s="278" t="inlineStr"/>
      <c r="WWV78" s="278" t="inlineStr"/>
      <c r="WWW78" s="278" t="inlineStr"/>
      <c r="WWX78" s="278" t="inlineStr"/>
      <c r="WWY78" s="278" t="inlineStr"/>
      <c r="WWZ78" s="278" t="inlineStr"/>
      <c r="WXA78" s="278" t="inlineStr"/>
      <c r="WXB78" s="278" t="inlineStr"/>
      <c r="WXC78" s="278" t="inlineStr"/>
      <c r="WXD78" s="278" t="inlineStr"/>
      <c r="WXE78" s="278" t="inlineStr"/>
      <c r="WXF78" s="278" t="inlineStr"/>
      <c r="WXG78" s="278" t="inlineStr"/>
      <c r="WXH78" s="278" t="inlineStr"/>
      <c r="WXI78" s="278" t="inlineStr"/>
      <c r="WXJ78" s="278" t="inlineStr"/>
      <c r="WXK78" s="278" t="inlineStr"/>
      <c r="WXL78" s="278" t="inlineStr"/>
      <c r="WXM78" s="278" t="inlineStr"/>
      <c r="WXN78" s="278" t="inlineStr"/>
      <c r="WXO78" s="278" t="inlineStr"/>
      <c r="WXP78" s="278" t="inlineStr"/>
      <c r="WXQ78" s="278" t="inlineStr"/>
      <c r="WXR78" s="278" t="inlineStr"/>
      <c r="WXS78" s="278" t="inlineStr"/>
      <c r="WXT78" s="278" t="inlineStr"/>
      <c r="WXU78" s="278" t="inlineStr"/>
      <c r="WXV78" s="278" t="inlineStr"/>
      <c r="WXW78" s="278" t="inlineStr"/>
      <c r="WXX78" s="278" t="inlineStr"/>
      <c r="WXY78" s="278" t="inlineStr"/>
      <c r="WXZ78" s="278" t="inlineStr"/>
      <c r="WYA78" s="278" t="inlineStr"/>
      <c r="WYB78" s="278" t="inlineStr"/>
      <c r="WYC78" s="278" t="inlineStr"/>
      <c r="WYD78" s="278" t="inlineStr"/>
      <c r="WYE78" s="278" t="inlineStr"/>
      <c r="WYF78" s="278" t="inlineStr"/>
      <c r="WYG78" s="278" t="inlineStr"/>
      <c r="WYH78" s="278" t="inlineStr"/>
      <c r="WYI78" s="278" t="inlineStr"/>
      <c r="WYJ78" s="278" t="inlineStr"/>
      <c r="WYK78" s="278" t="inlineStr"/>
      <c r="WYL78" s="278" t="inlineStr"/>
      <c r="WYM78" s="278" t="inlineStr"/>
      <c r="WYN78" s="278" t="inlineStr"/>
      <c r="WYO78" s="278" t="inlineStr"/>
      <c r="WYP78" s="278" t="inlineStr"/>
      <c r="WYQ78" s="278" t="inlineStr"/>
      <c r="WYR78" s="278" t="inlineStr"/>
      <c r="WYS78" s="278" t="inlineStr"/>
      <c r="WYT78" s="278" t="inlineStr"/>
      <c r="WYU78" s="278" t="inlineStr"/>
      <c r="WYV78" s="278" t="inlineStr"/>
      <c r="WYW78" s="278" t="inlineStr"/>
      <c r="WYX78" s="278" t="inlineStr"/>
      <c r="WYY78" s="278" t="inlineStr"/>
      <c r="WYZ78" s="278" t="inlineStr"/>
      <c r="WZA78" s="278" t="inlineStr"/>
      <c r="WZB78" s="278" t="inlineStr"/>
      <c r="WZC78" s="278" t="inlineStr"/>
      <c r="WZD78" s="278" t="inlineStr"/>
      <c r="WZE78" s="278" t="inlineStr"/>
      <c r="WZF78" s="278" t="inlineStr"/>
      <c r="WZG78" s="278" t="inlineStr"/>
      <c r="WZH78" s="278" t="inlineStr"/>
      <c r="WZI78" s="278" t="inlineStr"/>
      <c r="WZJ78" s="278" t="inlineStr"/>
      <c r="WZK78" s="278" t="inlineStr"/>
      <c r="WZL78" s="278" t="inlineStr"/>
      <c r="WZM78" s="278" t="inlineStr"/>
      <c r="WZN78" s="278" t="inlineStr"/>
      <c r="WZO78" s="278" t="inlineStr"/>
      <c r="WZP78" s="278" t="inlineStr"/>
      <c r="WZQ78" s="278" t="inlineStr"/>
      <c r="WZR78" s="278" t="inlineStr"/>
      <c r="WZS78" s="278" t="inlineStr"/>
      <c r="WZT78" s="278" t="inlineStr"/>
      <c r="WZU78" s="278" t="inlineStr"/>
      <c r="WZV78" s="278" t="inlineStr"/>
      <c r="WZW78" s="278" t="inlineStr"/>
      <c r="WZX78" s="278" t="inlineStr"/>
      <c r="WZY78" s="278" t="inlineStr"/>
      <c r="WZZ78" s="278" t="inlineStr"/>
      <c r="XAA78" s="278" t="inlineStr"/>
      <c r="XAB78" s="278" t="inlineStr"/>
      <c r="XAC78" s="278" t="inlineStr"/>
      <c r="XAD78" s="278" t="inlineStr"/>
      <c r="XAE78" s="278" t="inlineStr"/>
      <c r="XAF78" s="278" t="inlineStr"/>
      <c r="XAG78" s="278" t="inlineStr"/>
      <c r="XAH78" s="278" t="inlineStr"/>
      <c r="XAI78" s="278" t="inlineStr"/>
      <c r="XAJ78" s="278" t="inlineStr"/>
      <c r="XAK78" s="278" t="inlineStr"/>
      <c r="XAL78" s="278" t="inlineStr"/>
      <c r="XAM78" s="278" t="inlineStr"/>
      <c r="XAN78" s="278" t="inlineStr"/>
      <c r="XAO78" s="278" t="inlineStr"/>
      <c r="XAP78" s="278" t="inlineStr"/>
      <c r="XAQ78" s="278" t="inlineStr"/>
      <c r="XAR78" s="278" t="inlineStr"/>
      <c r="XAS78" s="278" t="inlineStr"/>
      <c r="XAT78" s="278" t="inlineStr"/>
      <c r="XAU78" s="278" t="inlineStr"/>
      <c r="XAV78" s="278" t="inlineStr"/>
      <c r="XAW78" s="278" t="inlineStr"/>
      <c r="XAX78" s="278" t="inlineStr"/>
      <c r="XAY78" s="278" t="inlineStr"/>
      <c r="XAZ78" s="278" t="inlineStr"/>
      <c r="XBA78" s="278" t="inlineStr"/>
      <c r="XBB78" s="278" t="inlineStr"/>
      <c r="XBC78" s="278" t="inlineStr"/>
      <c r="XBD78" s="278" t="inlineStr"/>
      <c r="XBE78" s="278" t="inlineStr"/>
      <c r="XBF78" s="278" t="inlineStr"/>
      <c r="XBG78" s="278" t="inlineStr"/>
      <c r="XBH78" s="278" t="inlineStr"/>
      <c r="XBI78" s="278" t="inlineStr"/>
      <c r="XBJ78" s="278" t="inlineStr"/>
      <c r="XBK78" s="278" t="inlineStr"/>
      <c r="XBL78" s="278" t="inlineStr"/>
      <c r="XBM78" s="278" t="inlineStr"/>
      <c r="XBN78" s="278" t="inlineStr"/>
      <c r="XBO78" s="278" t="inlineStr"/>
      <c r="XBP78" s="278" t="inlineStr"/>
      <c r="XBQ78" s="278" t="inlineStr"/>
      <c r="XBR78" s="278" t="inlineStr"/>
      <c r="XBS78" s="278" t="inlineStr"/>
      <c r="XBT78" s="278" t="inlineStr"/>
      <c r="XBU78" s="278" t="inlineStr"/>
      <c r="XBV78" s="278" t="inlineStr"/>
      <c r="XBW78" s="278" t="inlineStr"/>
      <c r="XBX78" s="278" t="inlineStr"/>
      <c r="XBY78" s="278" t="inlineStr"/>
      <c r="XBZ78" s="278" t="inlineStr"/>
      <c r="XCA78" s="278" t="inlineStr"/>
      <c r="XCB78" s="278" t="inlineStr"/>
      <c r="XCC78" s="278" t="inlineStr"/>
      <c r="XCD78" s="278" t="inlineStr"/>
      <c r="XCE78" s="278" t="inlineStr"/>
      <c r="XCF78" s="278" t="inlineStr"/>
      <c r="XCG78" s="278" t="inlineStr"/>
      <c r="XCH78" s="278" t="inlineStr"/>
      <c r="XCI78" s="278" t="inlineStr"/>
      <c r="XCJ78" s="278" t="inlineStr"/>
      <c r="XCK78" s="278" t="inlineStr"/>
      <c r="XCL78" s="278" t="inlineStr"/>
      <c r="XCM78" s="278" t="inlineStr"/>
      <c r="XCN78" s="278" t="inlineStr"/>
      <c r="XCO78" s="278" t="inlineStr"/>
      <c r="XCP78" s="278" t="inlineStr"/>
      <c r="XCQ78" s="278" t="inlineStr"/>
      <c r="XCR78" s="278" t="inlineStr"/>
      <c r="XCS78" s="278" t="inlineStr"/>
      <c r="XCT78" s="278" t="inlineStr"/>
      <c r="XCU78" s="278" t="inlineStr"/>
      <c r="XCV78" s="278" t="inlineStr"/>
      <c r="XCW78" s="278" t="inlineStr"/>
      <c r="XCX78" s="278" t="inlineStr"/>
      <c r="XCY78" s="278" t="inlineStr"/>
      <c r="XCZ78" s="278" t="inlineStr"/>
      <c r="XDA78" s="278" t="inlineStr"/>
      <c r="XDB78" s="278" t="inlineStr"/>
      <c r="XDC78" s="278" t="inlineStr"/>
      <c r="XDD78" s="278" t="inlineStr"/>
      <c r="XDE78" s="278" t="inlineStr"/>
      <c r="XDF78" s="278" t="inlineStr"/>
      <c r="XDG78" s="278" t="inlineStr"/>
      <c r="XDH78" s="278" t="inlineStr"/>
      <c r="XDI78" s="278" t="inlineStr"/>
      <c r="XDJ78" s="278" t="inlineStr"/>
      <c r="XDK78" s="278" t="inlineStr"/>
      <c r="XDL78" s="278" t="inlineStr"/>
      <c r="XDM78" s="278" t="inlineStr"/>
      <c r="XDN78" s="278" t="inlineStr"/>
      <c r="XDO78" s="278" t="inlineStr"/>
      <c r="XDP78" s="278" t="inlineStr"/>
      <c r="XDQ78" s="278" t="inlineStr"/>
      <c r="XDR78" s="278" t="inlineStr"/>
      <c r="XDS78" s="278" t="inlineStr"/>
      <c r="XDT78" s="278" t="inlineStr"/>
      <c r="XDU78" s="278" t="inlineStr"/>
      <c r="XDV78" s="278" t="inlineStr"/>
      <c r="XDW78" s="278" t="inlineStr"/>
      <c r="XDX78" s="278" t="inlineStr"/>
      <c r="XDY78" s="278" t="inlineStr"/>
      <c r="XDZ78" s="278" t="inlineStr"/>
      <c r="XEA78" s="278" t="inlineStr"/>
      <c r="XEB78" s="278" t="inlineStr"/>
      <c r="XEC78" s="278" t="inlineStr"/>
      <c r="XED78" s="278" t="inlineStr"/>
      <c r="XEE78" s="278" t="inlineStr"/>
      <c r="XEF78" s="278" t="inlineStr"/>
      <c r="XEG78" s="278" t="inlineStr"/>
      <c r="XEH78" s="278" t="inlineStr"/>
      <c r="XEI78" s="278" t="inlineStr"/>
      <c r="XEJ78" s="278" t="inlineStr"/>
      <c r="XEK78" s="278" t="inlineStr"/>
      <c r="XEL78" s="278" t="inlineStr"/>
      <c r="XEM78" s="278" t="inlineStr"/>
      <c r="XEN78" s="278" t="inlineStr"/>
      <c r="XEO78" s="278" t="inlineStr"/>
      <c r="XEP78" s="278" t="inlineStr"/>
      <c r="XEQ78" s="278" t="inlineStr"/>
      <c r="XER78" s="278" t="inlineStr"/>
      <c r="XES78" s="278" t="inlineStr"/>
      <c r="XET78" s="278" t="inlineStr"/>
      <c r="XEU78" s="278" t="inlineStr"/>
      <c r="XEV78" s="278" t="inlineStr"/>
      <c r="XEW78" s="278" t="inlineStr"/>
      <c r="XEX78" s="278" t="inlineStr"/>
      <c r="XEY78" s="278" t="inlineStr"/>
      <c r="XEZ78" s="278" t="inlineStr"/>
      <c r="XFA78" s="278" t="inlineStr"/>
      <c r="XFB78" s="278" t="inlineStr"/>
      <c r="XFC78" s="278" t="inlineStr"/>
      <c r="XFD78" s="278" t="inlineStr"/>
    </row>
    <row r="79" ht="15.75" customFormat="1" customHeight="1" s="278">
      <c r="A79" s="394" t="inlineStr">
        <is>
          <t>https://codeforces.com/group/Rilx5irOux/contest/537870/problem/J</t>
        </is>
      </c>
      <c r="B79" s="394" t="inlineStr">
        <is>
          <t>AC</t>
        </is>
      </c>
      <c r="C79" s="366" t="n">
        <v>1</v>
      </c>
      <c r="D79" s="366" t="n">
        <v>1</v>
      </c>
      <c r="E79" s="366" t="n">
        <v>2</v>
      </c>
      <c r="F79" s="366" t="n">
        <v>10</v>
      </c>
      <c r="G79" s="366" t="n">
        <v>0</v>
      </c>
      <c r="H79" s="366" t="n">
        <v>13</v>
      </c>
      <c r="I79" s="366" t="n">
        <v>4.2</v>
      </c>
      <c r="J79" s="395" t="inlineStr">
        <is>
          <t>yes</t>
        </is>
      </c>
      <c r="K79" s="366" t="inlineStr">
        <is>
          <t>MATH,ss</t>
        </is>
      </c>
      <c r="L79" s="395" t="inlineStr">
        <is>
          <t>test</t>
        </is>
      </c>
      <c r="M79" s="362" t="inlineStr"/>
      <c r="N79" s="394" t="inlineStr"/>
      <c r="O79" s="394" t="inlineStr"/>
      <c r="P79" s="394" t="inlineStr"/>
      <c r="Q79" s="394" t="inlineStr"/>
      <c r="R79" s="394" t="inlineStr"/>
      <c r="S79" s="394" t="inlineStr"/>
      <c r="T79" s="394" t="inlineStr"/>
      <c r="U79" s="278" t="inlineStr"/>
      <c r="V79" s="278" t="inlineStr"/>
      <c r="W79" s="278" t="inlineStr"/>
      <c r="X79" s="278" t="inlineStr"/>
      <c r="Y79" s="278" t="inlineStr"/>
      <c r="Z79" s="278" t="inlineStr"/>
      <c r="AA79" s="278" t="inlineStr"/>
      <c r="AB79" s="278" t="inlineStr"/>
      <c r="AC79" s="278" t="inlineStr"/>
      <c r="AD79" s="278" t="inlineStr"/>
      <c r="AE79" s="278" t="inlineStr"/>
      <c r="AF79" s="278" t="inlineStr"/>
      <c r="AG79" s="278" t="inlineStr"/>
      <c r="AH79" s="278" t="inlineStr"/>
      <c r="AI79" s="278" t="inlineStr"/>
      <c r="AJ79" s="278" t="inlineStr"/>
      <c r="AK79" s="278" t="inlineStr"/>
      <c r="AL79" s="278" t="inlineStr"/>
      <c r="AM79" s="278" t="inlineStr"/>
      <c r="AN79" s="278" t="inlineStr"/>
      <c r="AO79" s="278" t="inlineStr"/>
      <c r="AP79" s="278" t="inlineStr"/>
      <c r="AQ79" s="278" t="inlineStr"/>
      <c r="AR79" s="278" t="inlineStr"/>
      <c r="AS79" s="278" t="inlineStr"/>
      <c r="AT79" s="278" t="inlineStr"/>
      <c r="AU79" s="278" t="inlineStr"/>
      <c r="AV79" s="278" t="inlineStr"/>
      <c r="AW79" s="278" t="inlineStr"/>
      <c r="AX79" s="278" t="inlineStr"/>
      <c r="AY79" s="278" t="inlineStr"/>
      <c r="AZ79" s="278" t="inlineStr"/>
      <c r="BA79" s="278" t="inlineStr"/>
      <c r="BB79" s="278" t="inlineStr"/>
      <c r="BC79" s="278" t="inlineStr"/>
      <c r="BD79" s="278" t="inlineStr"/>
      <c r="BE79" s="278" t="inlineStr"/>
      <c r="BF79" s="278" t="inlineStr"/>
      <c r="BG79" s="278" t="inlineStr"/>
      <c r="BH79" s="278" t="inlineStr"/>
      <c r="BI79" s="278" t="inlineStr"/>
      <c r="BJ79" s="278" t="inlineStr"/>
      <c r="BK79" s="278" t="inlineStr"/>
      <c r="BL79" s="278" t="inlineStr"/>
      <c r="BM79" s="278" t="inlineStr"/>
      <c r="BN79" s="278" t="inlineStr"/>
      <c r="BO79" s="278" t="inlineStr"/>
      <c r="BP79" s="278" t="inlineStr"/>
      <c r="BQ79" s="278" t="inlineStr"/>
      <c r="BR79" s="278" t="inlineStr"/>
      <c r="BS79" s="278" t="inlineStr"/>
      <c r="BT79" s="278" t="inlineStr"/>
      <c r="BU79" s="278" t="inlineStr"/>
      <c r="BV79" s="278" t="inlineStr"/>
      <c r="BW79" s="278" t="inlineStr"/>
      <c r="BX79" s="278" t="inlineStr"/>
      <c r="BY79" s="278" t="inlineStr"/>
      <c r="BZ79" s="278" t="inlineStr"/>
      <c r="CA79" s="278" t="inlineStr"/>
      <c r="CB79" s="278" t="inlineStr"/>
      <c r="CC79" s="278" t="inlineStr"/>
      <c r="CD79" s="278" t="inlineStr"/>
      <c r="CE79" s="278" t="inlineStr"/>
      <c r="CF79" s="278" t="inlineStr"/>
      <c r="CG79" s="278" t="inlineStr"/>
      <c r="CH79" s="278" t="inlineStr"/>
      <c r="CI79" s="278" t="inlineStr"/>
      <c r="CJ79" s="278" t="inlineStr"/>
      <c r="CK79" s="278" t="inlineStr"/>
      <c r="CL79" s="278" t="inlineStr"/>
      <c r="CM79" s="278" t="inlineStr"/>
      <c r="CN79" s="278" t="inlineStr"/>
      <c r="CO79" s="278" t="inlineStr"/>
      <c r="CP79" s="278" t="inlineStr"/>
      <c r="CQ79" s="278" t="inlineStr"/>
      <c r="CR79" s="278" t="inlineStr"/>
      <c r="CS79" s="278" t="inlineStr"/>
      <c r="CT79" s="278" t="inlineStr"/>
      <c r="CU79" s="278" t="inlineStr"/>
      <c r="CV79" s="278" t="inlineStr"/>
      <c r="CW79" s="278" t="inlineStr"/>
      <c r="CX79" s="278" t="inlineStr"/>
      <c r="CY79" s="278" t="inlineStr"/>
      <c r="CZ79" s="278" t="inlineStr"/>
      <c r="DA79" s="278" t="inlineStr"/>
      <c r="DB79" s="278" t="inlineStr"/>
      <c r="DC79" s="278" t="inlineStr"/>
      <c r="DD79" s="278" t="inlineStr"/>
      <c r="DE79" s="278" t="inlineStr"/>
      <c r="DF79" s="278" t="inlineStr"/>
      <c r="DG79" s="278" t="inlineStr"/>
      <c r="DH79" s="278" t="inlineStr"/>
      <c r="DI79" s="278" t="inlineStr"/>
      <c r="DJ79" s="278" t="inlineStr"/>
      <c r="DK79" s="278" t="inlineStr"/>
      <c r="DL79" s="278" t="inlineStr"/>
      <c r="DM79" s="278" t="inlineStr"/>
      <c r="DN79" s="278" t="inlineStr"/>
      <c r="DO79" s="278" t="inlineStr"/>
      <c r="DP79" s="278" t="inlineStr"/>
      <c r="DQ79" s="278" t="inlineStr"/>
      <c r="DR79" s="278" t="inlineStr"/>
      <c r="DS79" s="278" t="inlineStr"/>
      <c r="DT79" s="278" t="inlineStr"/>
      <c r="DU79" s="278" t="inlineStr"/>
      <c r="DV79" s="278" t="inlineStr"/>
      <c r="DW79" s="278" t="inlineStr"/>
      <c r="DX79" s="278" t="inlineStr"/>
      <c r="DY79" s="278" t="inlineStr"/>
      <c r="DZ79" s="278" t="inlineStr"/>
      <c r="EA79" s="278" t="inlineStr"/>
      <c r="EB79" s="278" t="inlineStr"/>
      <c r="EC79" s="278" t="inlineStr"/>
      <c r="ED79" s="278" t="inlineStr"/>
      <c r="EE79" s="278" t="inlineStr"/>
      <c r="EF79" s="278" t="inlineStr"/>
      <c r="EG79" s="278" t="inlineStr"/>
      <c r="EH79" s="278" t="inlineStr"/>
      <c r="EI79" s="278" t="inlineStr"/>
      <c r="EJ79" s="278" t="inlineStr"/>
      <c r="EK79" s="278" t="inlineStr"/>
      <c r="EL79" s="278" t="inlineStr"/>
      <c r="EM79" s="278" t="inlineStr"/>
      <c r="EN79" s="278" t="inlineStr"/>
      <c r="EO79" s="278" t="inlineStr"/>
      <c r="EP79" s="278" t="inlineStr"/>
      <c r="EQ79" s="278" t="inlineStr"/>
      <c r="ER79" s="278" t="inlineStr"/>
      <c r="ES79" s="278" t="inlineStr"/>
      <c r="ET79" s="278" t="inlineStr"/>
      <c r="EU79" s="278" t="inlineStr"/>
      <c r="EV79" s="278" t="inlineStr"/>
      <c r="EW79" s="278" t="inlineStr"/>
      <c r="EX79" s="278" t="inlineStr"/>
      <c r="EY79" s="278" t="inlineStr"/>
      <c r="EZ79" s="278" t="inlineStr"/>
      <c r="FA79" s="278" t="inlineStr"/>
      <c r="FB79" s="278" t="inlineStr"/>
      <c r="FC79" s="278" t="inlineStr"/>
      <c r="FD79" s="278" t="inlineStr"/>
      <c r="FE79" s="278" t="inlineStr"/>
      <c r="FF79" s="278" t="inlineStr"/>
      <c r="FG79" s="278" t="inlineStr"/>
      <c r="FH79" s="278" t="inlineStr"/>
      <c r="FI79" s="278" t="inlineStr"/>
      <c r="FJ79" s="278" t="inlineStr"/>
      <c r="FK79" s="278" t="inlineStr"/>
      <c r="FL79" s="278" t="inlineStr"/>
      <c r="FM79" s="278" t="inlineStr"/>
      <c r="FN79" s="278" t="inlineStr"/>
      <c r="FO79" s="278" t="inlineStr"/>
      <c r="FP79" s="278" t="inlineStr"/>
      <c r="FQ79" s="278" t="inlineStr"/>
      <c r="FR79" s="278" t="inlineStr"/>
      <c r="FS79" s="278" t="inlineStr"/>
      <c r="FT79" s="278" t="inlineStr"/>
      <c r="FU79" s="278" t="inlineStr"/>
      <c r="FV79" s="278" t="inlineStr"/>
      <c r="FW79" s="278" t="inlineStr"/>
      <c r="FX79" s="278" t="inlineStr"/>
      <c r="FY79" s="278" t="inlineStr"/>
      <c r="FZ79" s="278" t="inlineStr"/>
      <c r="GA79" s="278" t="inlineStr"/>
      <c r="GB79" s="278" t="inlineStr"/>
      <c r="GC79" s="278" t="inlineStr"/>
      <c r="GD79" s="278" t="inlineStr"/>
      <c r="GE79" s="278" t="inlineStr"/>
      <c r="GF79" s="278" t="inlineStr"/>
      <c r="GG79" s="278" t="inlineStr"/>
      <c r="GH79" s="278" t="inlineStr"/>
      <c r="GI79" s="278" t="inlineStr"/>
      <c r="GJ79" s="278" t="inlineStr"/>
      <c r="GK79" s="278" t="inlineStr"/>
      <c r="GL79" s="278" t="inlineStr"/>
      <c r="GM79" s="278" t="inlineStr"/>
      <c r="GN79" s="278" t="inlineStr"/>
      <c r="GO79" s="278" t="inlineStr"/>
      <c r="GP79" s="278" t="inlineStr"/>
      <c r="GQ79" s="278" t="inlineStr"/>
      <c r="GR79" s="278" t="inlineStr"/>
      <c r="GS79" s="278" t="inlineStr"/>
      <c r="GT79" s="278" t="inlineStr"/>
      <c r="GU79" s="278" t="inlineStr"/>
      <c r="GV79" s="278" t="inlineStr"/>
      <c r="GW79" s="278" t="inlineStr"/>
      <c r="GX79" s="278" t="inlineStr"/>
      <c r="GY79" s="278" t="inlineStr"/>
      <c r="GZ79" s="278" t="inlineStr"/>
      <c r="HA79" s="278" t="inlineStr"/>
      <c r="HB79" s="278" t="inlineStr"/>
      <c r="HC79" s="278" t="inlineStr"/>
      <c r="HD79" s="278" t="inlineStr"/>
      <c r="HE79" s="278" t="inlineStr"/>
      <c r="HF79" s="278" t="inlineStr"/>
      <c r="HG79" s="278" t="inlineStr"/>
      <c r="HH79" s="278" t="inlineStr"/>
      <c r="HI79" s="278" t="inlineStr"/>
      <c r="HJ79" s="278" t="inlineStr"/>
      <c r="HK79" s="278" t="inlineStr"/>
      <c r="HL79" s="278" t="inlineStr"/>
      <c r="HM79" s="278" t="inlineStr"/>
      <c r="HN79" s="278" t="inlineStr"/>
      <c r="HO79" s="278" t="inlineStr"/>
      <c r="HP79" s="278" t="inlineStr"/>
      <c r="HQ79" s="278" t="inlineStr"/>
      <c r="HR79" s="278" t="inlineStr"/>
      <c r="HS79" s="278" t="inlineStr"/>
      <c r="HT79" s="278" t="inlineStr"/>
      <c r="HU79" s="278" t="inlineStr"/>
      <c r="HV79" s="278" t="inlineStr"/>
      <c r="HW79" s="278" t="inlineStr"/>
      <c r="HX79" s="278" t="inlineStr"/>
      <c r="HY79" s="278" t="inlineStr"/>
      <c r="HZ79" s="278" t="inlineStr"/>
      <c r="IA79" s="278" t="inlineStr"/>
      <c r="IB79" s="278" t="inlineStr"/>
      <c r="IC79" s="278" t="inlineStr"/>
      <c r="ID79" s="278" t="inlineStr"/>
      <c r="IE79" s="278" t="inlineStr"/>
      <c r="IF79" s="278" t="inlineStr"/>
      <c r="IG79" s="278" t="inlineStr"/>
      <c r="IH79" s="278" t="inlineStr"/>
      <c r="II79" s="278" t="inlineStr"/>
      <c r="IJ79" s="278" t="inlineStr"/>
      <c r="IK79" s="278" t="inlineStr"/>
      <c r="IL79" s="278" t="inlineStr"/>
      <c r="IM79" s="278" t="inlineStr"/>
      <c r="IN79" s="278" t="inlineStr"/>
      <c r="IO79" s="278" t="inlineStr"/>
      <c r="IP79" s="278" t="inlineStr"/>
      <c r="IQ79" s="278" t="inlineStr"/>
      <c r="IR79" s="278" t="inlineStr"/>
      <c r="IS79" s="278" t="inlineStr"/>
      <c r="IT79" s="278" t="inlineStr"/>
      <c r="IU79" s="278" t="inlineStr"/>
      <c r="IV79" s="278" t="inlineStr"/>
      <c r="IW79" s="278" t="inlineStr"/>
      <c r="IX79" s="278" t="inlineStr"/>
      <c r="IY79" s="278" t="inlineStr"/>
      <c r="IZ79" s="278" t="inlineStr"/>
      <c r="JA79" s="278" t="inlineStr"/>
      <c r="JB79" s="278" t="inlineStr"/>
      <c r="JC79" s="278" t="inlineStr"/>
      <c r="JD79" s="278" t="inlineStr"/>
      <c r="JE79" s="278" t="inlineStr"/>
      <c r="JF79" s="278" t="inlineStr"/>
      <c r="JG79" s="278" t="inlineStr"/>
      <c r="JH79" s="278" t="inlineStr"/>
      <c r="JI79" s="278" t="inlineStr"/>
      <c r="JJ79" s="278" t="inlineStr"/>
      <c r="JK79" s="278" t="inlineStr"/>
      <c r="JL79" s="278" t="inlineStr"/>
      <c r="JM79" s="278" t="inlineStr"/>
      <c r="JN79" s="278" t="inlineStr"/>
      <c r="JO79" s="278" t="inlineStr"/>
      <c r="JP79" s="278" t="inlineStr"/>
      <c r="JQ79" s="278" t="inlineStr"/>
      <c r="JR79" s="278" t="inlineStr"/>
      <c r="JS79" s="278" t="inlineStr"/>
      <c r="JT79" s="278" t="inlineStr"/>
      <c r="JU79" s="278" t="inlineStr"/>
      <c r="JV79" s="278" t="inlineStr"/>
      <c r="JW79" s="278" t="inlineStr"/>
      <c r="JX79" s="278" t="inlineStr"/>
      <c r="JY79" s="278" t="inlineStr"/>
      <c r="JZ79" s="278" t="inlineStr"/>
      <c r="KA79" s="278" t="inlineStr"/>
      <c r="KB79" s="278" t="inlineStr"/>
      <c r="KC79" s="278" t="inlineStr"/>
      <c r="KD79" s="278" t="inlineStr"/>
      <c r="KE79" s="278" t="inlineStr"/>
      <c r="KF79" s="278" t="inlineStr"/>
      <c r="KG79" s="278" t="inlineStr"/>
      <c r="KH79" s="278" t="inlineStr"/>
      <c r="KI79" s="278" t="inlineStr"/>
      <c r="KJ79" s="278" t="inlineStr"/>
      <c r="KK79" s="278" t="inlineStr"/>
      <c r="KL79" s="278" t="inlineStr"/>
      <c r="KM79" s="278" t="inlineStr"/>
      <c r="KN79" s="278" t="inlineStr"/>
      <c r="KO79" s="278" t="inlineStr"/>
      <c r="KP79" s="278" t="inlineStr"/>
      <c r="KQ79" s="278" t="inlineStr"/>
      <c r="KR79" s="278" t="inlineStr"/>
      <c r="KS79" s="278" t="inlineStr"/>
      <c r="KT79" s="278" t="inlineStr"/>
      <c r="KU79" s="278" t="inlineStr"/>
      <c r="KV79" s="278" t="inlineStr"/>
      <c r="KW79" s="278" t="inlineStr"/>
      <c r="KX79" s="278" t="inlineStr"/>
      <c r="KY79" s="278" t="inlineStr"/>
      <c r="KZ79" s="278" t="inlineStr"/>
      <c r="LA79" s="278" t="inlineStr"/>
      <c r="LB79" s="278" t="inlineStr"/>
      <c r="LC79" s="278" t="inlineStr"/>
      <c r="LD79" s="278" t="inlineStr"/>
      <c r="LE79" s="278" t="inlineStr"/>
      <c r="LF79" s="278" t="inlineStr"/>
      <c r="LG79" s="278" t="inlineStr"/>
      <c r="LH79" s="278" t="inlineStr"/>
      <c r="LI79" s="278" t="inlineStr"/>
      <c r="LJ79" s="278" t="inlineStr"/>
      <c r="LK79" s="278" t="inlineStr"/>
      <c r="LL79" s="278" t="inlineStr"/>
      <c r="LM79" s="278" t="inlineStr"/>
      <c r="LN79" s="278" t="inlineStr"/>
      <c r="LO79" s="278" t="inlineStr"/>
      <c r="LP79" s="278" t="inlineStr"/>
      <c r="LQ79" s="278" t="inlineStr"/>
      <c r="LR79" s="278" t="inlineStr"/>
      <c r="LS79" s="278" t="inlineStr"/>
      <c r="LT79" s="278" t="inlineStr"/>
      <c r="LU79" s="278" t="inlineStr"/>
      <c r="LV79" s="278" t="inlineStr"/>
      <c r="LW79" s="278" t="inlineStr"/>
      <c r="LX79" s="278" t="inlineStr"/>
      <c r="LY79" s="278" t="inlineStr"/>
      <c r="LZ79" s="278" t="inlineStr"/>
      <c r="MA79" s="278" t="inlineStr"/>
      <c r="MB79" s="278" t="inlineStr"/>
      <c r="MC79" s="278" t="inlineStr"/>
      <c r="MD79" s="278" t="inlineStr"/>
      <c r="ME79" s="278" t="inlineStr"/>
      <c r="MF79" s="278" t="inlineStr"/>
      <c r="MG79" s="278" t="inlineStr"/>
      <c r="MH79" s="278" t="inlineStr"/>
      <c r="MI79" s="278" t="inlineStr"/>
      <c r="MJ79" s="278" t="inlineStr"/>
      <c r="MK79" s="278" t="inlineStr"/>
      <c r="ML79" s="278" t="inlineStr"/>
      <c r="MM79" s="278" t="inlineStr"/>
      <c r="MN79" s="278" t="inlineStr"/>
      <c r="MO79" s="278" t="inlineStr"/>
      <c r="MP79" s="278" t="inlineStr"/>
      <c r="MQ79" s="278" t="inlineStr"/>
      <c r="MR79" s="278" t="inlineStr"/>
      <c r="MS79" s="278" t="inlineStr"/>
      <c r="MT79" s="278" t="inlineStr"/>
      <c r="MU79" s="278" t="inlineStr"/>
      <c r="MV79" s="278" t="inlineStr"/>
      <c r="MW79" s="278" t="inlineStr"/>
      <c r="MX79" s="278" t="inlineStr"/>
      <c r="MY79" s="278" t="inlineStr"/>
      <c r="MZ79" s="278" t="inlineStr"/>
      <c r="NA79" s="278" t="inlineStr"/>
      <c r="NB79" s="278" t="inlineStr"/>
      <c r="NC79" s="278" t="inlineStr"/>
      <c r="ND79" s="278" t="inlineStr"/>
      <c r="NE79" s="278" t="inlineStr"/>
      <c r="NF79" s="278" t="inlineStr"/>
      <c r="NG79" s="278" t="inlineStr"/>
      <c r="NH79" s="278" t="inlineStr"/>
      <c r="NI79" s="278" t="inlineStr"/>
      <c r="NJ79" s="278" t="inlineStr"/>
      <c r="NK79" s="278" t="inlineStr"/>
      <c r="NL79" s="278" t="inlineStr"/>
      <c r="NM79" s="278" t="inlineStr"/>
      <c r="NN79" s="278" t="inlineStr"/>
      <c r="NO79" s="278" t="inlineStr"/>
      <c r="NP79" s="278" t="inlineStr"/>
      <c r="NQ79" s="278" t="inlineStr"/>
      <c r="NR79" s="278" t="inlineStr"/>
      <c r="NS79" s="278" t="inlineStr"/>
      <c r="NT79" s="278" t="inlineStr"/>
      <c r="NU79" s="278" t="inlineStr"/>
      <c r="NV79" s="278" t="inlineStr"/>
      <c r="NW79" s="278" t="inlineStr"/>
      <c r="NX79" s="278" t="inlineStr"/>
      <c r="NY79" s="278" t="inlineStr"/>
      <c r="NZ79" s="278" t="inlineStr"/>
      <c r="OA79" s="278" t="inlineStr"/>
      <c r="OB79" s="278" t="inlineStr"/>
      <c r="OC79" s="278" t="inlineStr"/>
      <c r="OD79" s="278" t="inlineStr"/>
      <c r="OE79" s="278" t="inlineStr"/>
      <c r="OF79" s="278" t="inlineStr"/>
      <c r="OG79" s="278" t="inlineStr"/>
      <c r="OH79" s="278" t="inlineStr"/>
      <c r="OI79" s="278" t="inlineStr"/>
      <c r="OJ79" s="278" t="inlineStr"/>
      <c r="OK79" s="278" t="inlineStr"/>
      <c r="OL79" s="278" t="inlineStr"/>
      <c r="OM79" s="278" t="inlineStr"/>
      <c r="ON79" s="278" t="inlineStr"/>
      <c r="OO79" s="278" t="inlineStr"/>
      <c r="OP79" s="278" t="inlineStr"/>
      <c r="OQ79" s="278" t="inlineStr"/>
      <c r="OR79" s="278" t="inlineStr"/>
      <c r="OS79" s="278" t="inlineStr"/>
      <c r="OT79" s="278" t="inlineStr"/>
      <c r="OU79" s="278" t="inlineStr"/>
      <c r="OV79" s="278" t="inlineStr"/>
      <c r="OW79" s="278" t="inlineStr"/>
      <c r="OX79" s="278" t="inlineStr"/>
      <c r="OY79" s="278" t="inlineStr"/>
      <c r="OZ79" s="278" t="inlineStr"/>
      <c r="PA79" s="278" t="inlineStr"/>
      <c r="PB79" s="278" t="inlineStr"/>
      <c r="PC79" s="278" t="inlineStr"/>
      <c r="PD79" s="278" t="inlineStr"/>
      <c r="PE79" s="278" t="inlineStr"/>
      <c r="PF79" s="278" t="inlineStr"/>
      <c r="PG79" s="278" t="inlineStr"/>
      <c r="PH79" s="278" t="inlineStr"/>
      <c r="PI79" s="278" t="inlineStr"/>
      <c r="PJ79" s="278" t="inlineStr"/>
      <c r="PK79" s="278" t="inlineStr"/>
      <c r="PL79" s="278" t="inlineStr"/>
      <c r="PM79" s="278" t="inlineStr"/>
      <c r="PN79" s="278" t="inlineStr"/>
      <c r="PO79" s="278" t="inlineStr"/>
      <c r="PP79" s="278" t="inlineStr"/>
      <c r="PQ79" s="278" t="inlineStr"/>
      <c r="PR79" s="278" t="inlineStr"/>
      <c r="PS79" s="278" t="inlineStr"/>
      <c r="PT79" s="278" t="inlineStr"/>
      <c r="PU79" s="278" t="inlineStr"/>
      <c r="PV79" s="278" t="inlineStr"/>
      <c r="PW79" s="278" t="inlineStr"/>
      <c r="PX79" s="278" t="inlineStr"/>
      <c r="PY79" s="278" t="inlineStr"/>
      <c r="PZ79" s="278" t="inlineStr"/>
      <c r="QA79" s="278" t="inlineStr"/>
      <c r="QB79" s="278" t="inlineStr"/>
      <c r="QC79" s="278" t="inlineStr"/>
      <c r="QD79" s="278" t="inlineStr"/>
      <c r="QE79" s="278" t="inlineStr"/>
      <c r="QF79" s="278" t="inlineStr"/>
      <c r="QG79" s="278" t="inlineStr"/>
      <c r="QH79" s="278" t="inlineStr"/>
      <c r="QI79" s="278" t="inlineStr"/>
      <c r="QJ79" s="278" t="inlineStr"/>
      <c r="QK79" s="278" t="inlineStr"/>
      <c r="QL79" s="278" t="inlineStr"/>
      <c r="QM79" s="278" t="inlineStr"/>
      <c r="QN79" s="278" t="inlineStr"/>
      <c r="QO79" s="278" t="inlineStr"/>
      <c r="QP79" s="278" t="inlineStr"/>
      <c r="QQ79" s="278" t="inlineStr"/>
      <c r="QR79" s="278" t="inlineStr"/>
      <c r="QS79" s="278" t="inlineStr"/>
      <c r="QT79" s="278" t="inlineStr"/>
      <c r="QU79" s="278" t="inlineStr"/>
      <c r="QV79" s="278" t="inlineStr"/>
      <c r="QW79" s="278" t="inlineStr"/>
      <c r="QX79" s="278" t="inlineStr"/>
      <c r="QY79" s="278" t="inlineStr"/>
      <c r="QZ79" s="278" t="inlineStr"/>
      <c r="RA79" s="278" t="inlineStr"/>
      <c r="RB79" s="278" t="inlineStr"/>
      <c r="RC79" s="278" t="inlineStr"/>
      <c r="RD79" s="278" t="inlineStr"/>
      <c r="RE79" s="278" t="inlineStr"/>
      <c r="RF79" s="278" t="inlineStr"/>
      <c r="RG79" s="278" t="inlineStr"/>
      <c r="RH79" s="278" t="inlineStr"/>
      <c r="RI79" s="278" t="inlineStr"/>
      <c r="RJ79" s="278" t="inlineStr"/>
      <c r="RK79" s="278" t="inlineStr"/>
      <c r="RL79" s="278" t="inlineStr"/>
      <c r="RM79" s="278" t="inlineStr"/>
      <c r="RN79" s="278" t="inlineStr"/>
      <c r="RO79" s="278" t="inlineStr"/>
      <c r="RP79" s="278" t="inlineStr"/>
      <c r="RQ79" s="278" t="inlineStr"/>
      <c r="RR79" s="278" t="inlineStr"/>
      <c r="RS79" s="278" t="inlineStr"/>
      <c r="RT79" s="278" t="inlineStr"/>
      <c r="RU79" s="278" t="inlineStr"/>
      <c r="RV79" s="278" t="inlineStr"/>
      <c r="RW79" s="278" t="inlineStr"/>
      <c r="RX79" s="278" t="inlineStr"/>
      <c r="RY79" s="278" t="inlineStr"/>
      <c r="RZ79" s="278" t="inlineStr"/>
      <c r="SA79" s="278" t="inlineStr"/>
      <c r="SB79" s="278" t="inlineStr"/>
      <c r="SC79" s="278" t="inlineStr"/>
      <c r="SD79" s="278" t="inlineStr"/>
      <c r="SE79" s="278" t="inlineStr"/>
      <c r="SF79" s="278" t="inlineStr"/>
      <c r="SG79" s="278" t="inlineStr"/>
      <c r="SH79" s="278" t="inlineStr"/>
      <c r="SI79" s="278" t="inlineStr"/>
      <c r="SJ79" s="278" t="inlineStr"/>
      <c r="SK79" s="278" t="inlineStr"/>
      <c r="SL79" s="278" t="inlineStr"/>
      <c r="SM79" s="278" t="inlineStr"/>
      <c r="SN79" s="278" t="inlineStr"/>
      <c r="SO79" s="278" t="inlineStr"/>
      <c r="SP79" s="278" t="inlineStr"/>
      <c r="SQ79" s="278" t="inlineStr"/>
      <c r="SR79" s="278" t="inlineStr"/>
      <c r="SS79" s="278" t="inlineStr"/>
      <c r="ST79" s="278" t="inlineStr"/>
      <c r="SU79" s="278" t="inlineStr"/>
      <c r="SV79" s="278" t="inlineStr"/>
      <c r="SW79" s="278" t="inlineStr"/>
      <c r="SX79" s="278" t="inlineStr"/>
      <c r="SY79" s="278" t="inlineStr"/>
      <c r="SZ79" s="278" t="inlineStr"/>
      <c r="TA79" s="278" t="inlineStr"/>
      <c r="TB79" s="278" t="inlineStr"/>
      <c r="TC79" s="278" t="inlineStr"/>
      <c r="TD79" s="278" t="inlineStr"/>
      <c r="TE79" s="278" t="inlineStr"/>
      <c r="TF79" s="278" t="inlineStr"/>
      <c r="TG79" s="278" t="inlineStr"/>
      <c r="TH79" s="278" t="inlineStr"/>
      <c r="TI79" s="278" t="inlineStr"/>
      <c r="TJ79" s="278" t="inlineStr"/>
      <c r="TK79" s="278" t="inlineStr"/>
      <c r="TL79" s="278" t="inlineStr"/>
      <c r="TM79" s="278" t="inlineStr"/>
      <c r="TN79" s="278" t="inlineStr"/>
      <c r="TO79" s="278" t="inlineStr"/>
      <c r="TP79" s="278" t="inlineStr"/>
      <c r="TQ79" s="278" t="inlineStr"/>
      <c r="TR79" s="278" t="inlineStr"/>
      <c r="TS79" s="278" t="inlineStr"/>
      <c r="TT79" s="278" t="inlineStr"/>
      <c r="TU79" s="278" t="inlineStr"/>
      <c r="TV79" s="278" t="inlineStr"/>
      <c r="TW79" s="278" t="inlineStr"/>
      <c r="TX79" s="278" t="inlineStr"/>
      <c r="TY79" s="278" t="inlineStr"/>
      <c r="TZ79" s="278" t="inlineStr"/>
      <c r="UA79" s="278" t="inlineStr"/>
      <c r="UB79" s="278" t="inlineStr"/>
      <c r="UC79" s="278" t="inlineStr"/>
      <c r="UD79" s="278" t="inlineStr"/>
      <c r="UE79" s="278" t="inlineStr"/>
      <c r="UF79" s="278" t="inlineStr"/>
      <c r="UG79" s="278" t="inlineStr"/>
      <c r="UH79" s="278" t="inlineStr"/>
      <c r="UI79" s="278" t="inlineStr"/>
      <c r="UJ79" s="278" t="inlineStr"/>
      <c r="UK79" s="278" t="inlineStr"/>
      <c r="UL79" s="278" t="inlineStr"/>
      <c r="UM79" s="278" t="inlineStr"/>
      <c r="UN79" s="278" t="inlineStr"/>
      <c r="UO79" s="278" t="inlineStr"/>
      <c r="UP79" s="278" t="inlineStr"/>
      <c r="UQ79" s="278" t="inlineStr"/>
      <c r="UR79" s="278" t="inlineStr"/>
      <c r="US79" s="278" t="inlineStr"/>
      <c r="UT79" s="278" t="inlineStr"/>
      <c r="UU79" s="278" t="inlineStr"/>
      <c r="UV79" s="278" t="inlineStr"/>
      <c r="UW79" s="278" t="inlineStr"/>
      <c r="UX79" s="278" t="inlineStr"/>
      <c r="UY79" s="278" t="inlineStr"/>
      <c r="UZ79" s="278" t="inlineStr"/>
      <c r="VA79" s="278" t="inlineStr"/>
      <c r="VB79" s="278" t="inlineStr"/>
      <c r="VC79" s="278" t="inlineStr"/>
      <c r="VD79" s="278" t="inlineStr"/>
      <c r="VE79" s="278" t="inlineStr"/>
      <c r="VF79" s="278" t="inlineStr"/>
      <c r="VG79" s="278" t="inlineStr"/>
      <c r="VH79" s="278" t="inlineStr"/>
      <c r="VI79" s="278" t="inlineStr"/>
      <c r="VJ79" s="278" t="inlineStr"/>
      <c r="VK79" s="278" t="inlineStr"/>
      <c r="VL79" s="278" t="inlineStr"/>
      <c r="VM79" s="278" t="inlineStr"/>
      <c r="VN79" s="278" t="inlineStr"/>
      <c r="VO79" s="278" t="inlineStr"/>
      <c r="VP79" s="278" t="inlineStr"/>
      <c r="VQ79" s="278" t="inlineStr"/>
      <c r="VR79" s="278" t="inlineStr"/>
      <c r="VS79" s="278" t="inlineStr"/>
      <c r="VT79" s="278" t="inlineStr"/>
      <c r="VU79" s="278" t="inlineStr"/>
      <c r="VV79" s="278" t="inlineStr"/>
      <c r="VW79" s="278" t="inlineStr"/>
      <c r="VX79" s="278" t="inlineStr"/>
      <c r="VY79" s="278" t="inlineStr"/>
      <c r="VZ79" s="278" t="inlineStr"/>
      <c r="WA79" s="278" t="inlineStr"/>
      <c r="WB79" s="278" t="inlineStr"/>
      <c r="WC79" s="278" t="inlineStr"/>
      <c r="WD79" s="278" t="inlineStr"/>
      <c r="WE79" s="278" t="inlineStr"/>
      <c r="WF79" s="278" t="inlineStr"/>
      <c r="WG79" s="278" t="inlineStr"/>
      <c r="WH79" s="278" t="inlineStr"/>
      <c r="WI79" s="278" t="inlineStr"/>
      <c r="WJ79" s="278" t="inlineStr"/>
      <c r="WK79" s="278" t="inlineStr"/>
      <c r="WL79" s="278" t="inlineStr"/>
      <c r="WM79" s="278" t="inlineStr"/>
      <c r="WN79" s="278" t="inlineStr"/>
      <c r="WO79" s="278" t="inlineStr"/>
      <c r="WP79" s="278" t="inlineStr"/>
      <c r="WQ79" s="278" t="inlineStr"/>
      <c r="WR79" s="278" t="inlineStr"/>
      <c r="WS79" s="278" t="inlineStr"/>
      <c r="WT79" s="278" t="inlineStr"/>
      <c r="WU79" s="278" t="inlineStr"/>
      <c r="WV79" s="278" t="inlineStr"/>
      <c r="WW79" s="278" t="inlineStr"/>
      <c r="WX79" s="278" t="inlineStr"/>
      <c r="WY79" s="278" t="inlineStr"/>
      <c r="WZ79" s="278" t="inlineStr"/>
      <c r="XA79" s="278" t="inlineStr"/>
      <c r="XB79" s="278" t="inlineStr"/>
      <c r="XC79" s="278" t="inlineStr"/>
      <c r="XD79" s="278" t="inlineStr"/>
      <c r="XE79" s="278" t="inlineStr"/>
      <c r="XF79" s="278" t="inlineStr"/>
      <c r="XG79" s="278" t="inlineStr"/>
      <c r="XH79" s="278" t="inlineStr"/>
      <c r="XI79" s="278" t="inlineStr"/>
      <c r="XJ79" s="278" t="inlineStr"/>
      <c r="XK79" s="278" t="inlineStr"/>
      <c r="XL79" s="278" t="inlineStr"/>
      <c r="XM79" s="278" t="inlineStr"/>
      <c r="XN79" s="278" t="inlineStr"/>
      <c r="XO79" s="278" t="inlineStr"/>
      <c r="XP79" s="278" t="inlineStr"/>
      <c r="XQ79" s="278" t="inlineStr"/>
      <c r="XR79" s="278" t="inlineStr"/>
      <c r="XS79" s="278" t="inlineStr"/>
      <c r="XT79" s="278" t="inlineStr"/>
      <c r="XU79" s="278" t="inlineStr"/>
      <c r="XV79" s="278" t="inlineStr"/>
      <c r="XW79" s="278" t="inlineStr"/>
      <c r="XX79" s="278" t="inlineStr"/>
      <c r="XY79" s="278" t="inlineStr"/>
      <c r="XZ79" s="278" t="inlineStr"/>
      <c r="YA79" s="278" t="inlineStr"/>
      <c r="YB79" s="278" t="inlineStr"/>
      <c r="YC79" s="278" t="inlineStr"/>
      <c r="YD79" s="278" t="inlineStr"/>
      <c r="YE79" s="278" t="inlineStr"/>
      <c r="YF79" s="278" t="inlineStr"/>
      <c r="YG79" s="278" t="inlineStr"/>
      <c r="YH79" s="278" t="inlineStr"/>
      <c r="YI79" s="278" t="inlineStr"/>
      <c r="YJ79" s="278" t="inlineStr"/>
      <c r="YK79" s="278" t="inlineStr"/>
      <c r="YL79" s="278" t="inlineStr"/>
      <c r="YM79" s="278" t="inlineStr"/>
      <c r="YN79" s="278" t="inlineStr"/>
      <c r="YO79" s="278" t="inlineStr"/>
      <c r="YP79" s="278" t="inlineStr"/>
      <c r="YQ79" s="278" t="inlineStr"/>
      <c r="YR79" s="278" t="inlineStr"/>
      <c r="YS79" s="278" t="inlineStr"/>
      <c r="YT79" s="278" t="inlineStr"/>
      <c r="YU79" s="278" t="inlineStr"/>
      <c r="YV79" s="278" t="inlineStr"/>
      <c r="YW79" s="278" t="inlineStr"/>
      <c r="YX79" s="278" t="inlineStr"/>
      <c r="YY79" s="278" t="inlineStr"/>
      <c r="YZ79" s="278" t="inlineStr"/>
      <c r="ZA79" s="278" t="inlineStr"/>
      <c r="ZB79" s="278" t="inlineStr"/>
      <c r="ZC79" s="278" t="inlineStr"/>
      <c r="ZD79" s="278" t="inlineStr"/>
      <c r="ZE79" s="278" t="inlineStr"/>
      <c r="ZF79" s="278" t="inlineStr"/>
      <c r="ZG79" s="278" t="inlineStr"/>
      <c r="ZH79" s="278" t="inlineStr"/>
      <c r="ZI79" s="278" t="inlineStr"/>
      <c r="ZJ79" s="278" t="inlineStr"/>
      <c r="ZK79" s="278" t="inlineStr"/>
      <c r="ZL79" s="278" t="inlineStr"/>
      <c r="ZM79" s="278" t="inlineStr"/>
      <c r="ZN79" s="278" t="inlineStr"/>
      <c r="ZO79" s="278" t="inlineStr"/>
      <c r="ZP79" s="278" t="inlineStr"/>
      <c r="ZQ79" s="278" t="inlineStr"/>
      <c r="ZR79" s="278" t="inlineStr"/>
      <c r="ZS79" s="278" t="inlineStr"/>
      <c r="ZT79" s="278" t="inlineStr"/>
      <c r="ZU79" s="278" t="inlineStr"/>
      <c r="ZV79" s="278" t="inlineStr"/>
      <c r="ZW79" s="278" t="inlineStr"/>
      <c r="ZX79" s="278" t="inlineStr"/>
      <c r="ZY79" s="278" t="inlineStr"/>
      <c r="ZZ79" s="278" t="inlineStr"/>
      <c r="AAA79" s="278" t="inlineStr"/>
      <c r="AAB79" s="278" t="inlineStr"/>
      <c r="AAC79" s="278" t="inlineStr"/>
      <c r="AAD79" s="278" t="inlineStr"/>
      <c r="AAE79" s="278" t="inlineStr"/>
      <c r="AAF79" s="278" t="inlineStr"/>
      <c r="AAG79" s="278" t="inlineStr"/>
      <c r="AAH79" s="278" t="inlineStr"/>
      <c r="AAI79" s="278" t="inlineStr"/>
      <c r="AAJ79" s="278" t="inlineStr"/>
      <c r="AAK79" s="278" t="inlineStr"/>
      <c r="AAL79" s="278" t="inlineStr"/>
      <c r="AAM79" s="278" t="inlineStr"/>
      <c r="AAN79" s="278" t="inlineStr"/>
      <c r="AAO79" s="278" t="inlineStr"/>
      <c r="AAP79" s="278" t="inlineStr"/>
      <c r="AAQ79" s="278" t="inlineStr"/>
      <c r="AAR79" s="278" t="inlineStr"/>
      <c r="AAS79" s="278" t="inlineStr"/>
      <c r="AAT79" s="278" t="inlineStr"/>
      <c r="AAU79" s="278" t="inlineStr"/>
      <c r="AAV79" s="278" t="inlineStr"/>
      <c r="AAW79" s="278" t="inlineStr"/>
      <c r="AAX79" s="278" t="inlineStr"/>
      <c r="AAY79" s="278" t="inlineStr"/>
      <c r="AAZ79" s="278" t="inlineStr"/>
      <c r="ABA79" s="278" t="inlineStr"/>
      <c r="ABB79" s="278" t="inlineStr"/>
      <c r="ABC79" s="278" t="inlineStr"/>
      <c r="ABD79" s="278" t="inlineStr"/>
      <c r="ABE79" s="278" t="inlineStr"/>
      <c r="ABF79" s="278" t="inlineStr"/>
      <c r="ABG79" s="278" t="inlineStr"/>
      <c r="ABH79" s="278" t="inlineStr"/>
      <c r="ABI79" s="278" t="inlineStr"/>
      <c r="ABJ79" s="278" t="inlineStr"/>
      <c r="ABK79" s="278" t="inlineStr"/>
      <c r="ABL79" s="278" t="inlineStr"/>
      <c r="ABM79" s="278" t="inlineStr"/>
      <c r="ABN79" s="278" t="inlineStr"/>
      <c r="ABO79" s="278" t="inlineStr"/>
      <c r="ABP79" s="278" t="inlineStr"/>
      <c r="ABQ79" s="278" t="inlineStr"/>
      <c r="ABR79" s="278" t="inlineStr"/>
      <c r="ABS79" s="278" t="inlineStr"/>
      <c r="ABT79" s="278" t="inlineStr"/>
      <c r="ABU79" s="278" t="inlineStr"/>
      <c r="ABV79" s="278" t="inlineStr"/>
      <c r="ABW79" s="278" t="inlineStr"/>
      <c r="ABX79" s="278" t="inlineStr"/>
      <c r="ABY79" s="278" t="inlineStr"/>
      <c r="ABZ79" s="278" t="inlineStr"/>
      <c r="ACA79" s="278" t="inlineStr"/>
      <c r="ACB79" s="278" t="inlineStr"/>
      <c r="ACC79" s="278" t="inlineStr"/>
      <c r="ACD79" s="278" t="inlineStr"/>
      <c r="ACE79" s="278" t="inlineStr"/>
      <c r="ACF79" s="278" t="inlineStr"/>
      <c r="ACG79" s="278" t="inlineStr"/>
      <c r="ACH79" s="278" t="inlineStr"/>
      <c r="ACI79" s="278" t="inlineStr"/>
      <c r="ACJ79" s="278" t="inlineStr"/>
      <c r="ACK79" s="278" t="inlineStr"/>
      <c r="ACL79" s="278" t="inlineStr"/>
      <c r="ACM79" s="278" t="inlineStr"/>
      <c r="ACN79" s="278" t="inlineStr"/>
      <c r="ACO79" s="278" t="inlineStr"/>
      <c r="ACP79" s="278" t="inlineStr"/>
      <c r="ACQ79" s="278" t="inlineStr"/>
      <c r="ACR79" s="278" t="inlineStr"/>
      <c r="ACS79" s="278" t="inlineStr"/>
      <c r="ACT79" s="278" t="inlineStr"/>
      <c r="ACU79" s="278" t="inlineStr"/>
      <c r="ACV79" s="278" t="inlineStr"/>
      <c r="ACW79" s="278" t="inlineStr"/>
      <c r="ACX79" s="278" t="inlineStr"/>
      <c r="ACY79" s="278" t="inlineStr"/>
      <c r="ACZ79" s="278" t="inlineStr"/>
      <c r="ADA79" s="278" t="inlineStr"/>
      <c r="ADB79" s="278" t="inlineStr"/>
      <c r="ADC79" s="278" t="inlineStr"/>
      <c r="ADD79" s="278" t="inlineStr"/>
      <c r="ADE79" s="278" t="inlineStr"/>
      <c r="ADF79" s="278" t="inlineStr"/>
      <c r="ADG79" s="278" t="inlineStr"/>
      <c r="ADH79" s="278" t="inlineStr"/>
      <c r="ADI79" s="278" t="inlineStr"/>
      <c r="ADJ79" s="278" t="inlineStr"/>
      <c r="ADK79" s="278" t="inlineStr"/>
      <c r="ADL79" s="278" t="inlineStr"/>
      <c r="ADM79" s="278" t="inlineStr"/>
      <c r="ADN79" s="278" t="inlineStr"/>
      <c r="ADO79" s="278" t="inlineStr"/>
      <c r="ADP79" s="278" t="inlineStr"/>
      <c r="ADQ79" s="278" t="inlineStr"/>
      <c r="ADR79" s="278" t="inlineStr"/>
      <c r="ADS79" s="278" t="inlineStr"/>
      <c r="ADT79" s="278" t="inlineStr"/>
      <c r="ADU79" s="278" t="inlineStr"/>
      <c r="ADV79" s="278" t="inlineStr"/>
      <c r="ADW79" s="278" t="inlineStr"/>
      <c r="ADX79" s="278" t="inlineStr"/>
      <c r="ADY79" s="278" t="inlineStr"/>
      <c r="ADZ79" s="278" t="inlineStr"/>
      <c r="AEA79" s="278" t="inlineStr"/>
      <c r="AEB79" s="278" t="inlineStr"/>
      <c r="AEC79" s="278" t="inlineStr"/>
      <c r="AED79" s="278" t="inlineStr"/>
      <c r="AEE79" s="278" t="inlineStr"/>
      <c r="AEF79" s="278" t="inlineStr"/>
      <c r="AEG79" s="278" t="inlineStr"/>
      <c r="AEH79" s="278" t="inlineStr"/>
      <c r="AEI79" s="278" t="inlineStr"/>
      <c r="AEJ79" s="278" t="inlineStr"/>
      <c r="AEK79" s="278" t="inlineStr"/>
      <c r="AEL79" s="278" t="inlineStr"/>
      <c r="AEM79" s="278" t="inlineStr"/>
      <c r="AEN79" s="278" t="inlineStr"/>
      <c r="AEO79" s="278" t="inlineStr"/>
      <c r="AEP79" s="278" t="inlineStr"/>
      <c r="AEQ79" s="278" t="inlineStr"/>
      <c r="AER79" s="278" t="inlineStr"/>
      <c r="AES79" s="278" t="inlineStr"/>
      <c r="AET79" s="278" t="inlineStr"/>
      <c r="AEU79" s="278" t="inlineStr"/>
      <c r="AEV79" s="278" t="inlineStr"/>
      <c r="AEW79" s="278" t="inlineStr"/>
      <c r="AEX79" s="278" t="inlineStr"/>
      <c r="AEY79" s="278" t="inlineStr"/>
      <c r="AEZ79" s="278" t="inlineStr"/>
      <c r="AFA79" s="278" t="inlineStr"/>
      <c r="AFB79" s="278" t="inlineStr"/>
      <c r="AFC79" s="278" t="inlineStr"/>
      <c r="AFD79" s="278" t="inlineStr"/>
      <c r="AFE79" s="278" t="inlineStr"/>
      <c r="AFF79" s="278" t="inlineStr"/>
      <c r="AFG79" s="278" t="inlineStr"/>
      <c r="AFH79" s="278" t="inlineStr"/>
      <c r="AFI79" s="278" t="inlineStr"/>
      <c r="AFJ79" s="278" t="inlineStr"/>
      <c r="AFK79" s="278" t="inlineStr"/>
      <c r="AFL79" s="278" t="inlineStr"/>
      <c r="AFM79" s="278" t="inlineStr"/>
      <c r="AFN79" s="278" t="inlineStr"/>
      <c r="AFO79" s="278" t="inlineStr"/>
      <c r="AFP79" s="278" t="inlineStr"/>
      <c r="AFQ79" s="278" t="inlineStr"/>
      <c r="AFR79" s="278" t="inlineStr"/>
      <c r="AFS79" s="278" t="inlineStr"/>
      <c r="AFT79" s="278" t="inlineStr"/>
      <c r="AFU79" s="278" t="inlineStr"/>
      <c r="AFV79" s="278" t="inlineStr"/>
      <c r="AFW79" s="278" t="inlineStr"/>
      <c r="AFX79" s="278" t="inlineStr"/>
      <c r="AFY79" s="278" t="inlineStr"/>
      <c r="AFZ79" s="278" t="inlineStr"/>
      <c r="AGA79" s="278" t="inlineStr"/>
      <c r="AGB79" s="278" t="inlineStr"/>
      <c r="AGC79" s="278" t="inlineStr"/>
      <c r="AGD79" s="278" t="inlineStr"/>
      <c r="AGE79" s="278" t="inlineStr"/>
      <c r="AGF79" s="278" t="inlineStr"/>
      <c r="AGG79" s="278" t="inlineStr"/>
      <c r="AGH79" s="278" t="inlineStr"/>
      <c r="AGI79" s="278" t="inlineStr"/>
      <c r="AGJ79" s="278" t="inlineStr"/>
      <c r="AGK79" s="278" t="inlineStr"/>
      <c r="AGL79" s="278" t="inlineStr"/>
      <c r="AGM79" s="278" t="inlineStr"/>
      <c r="AGN79" s="278" t="inlineStr"/>
      <c r="AGO79" s="278" t="inlineStr"/>
      <c r="AGP79" s="278" t="inlineStr"/>
      <c r="AGQ79" s="278" t="inlineStr"/>
      <c r="AGR79" s="278" t="inlineStr"/>
      <c r="AGS79" s="278" t="inlineStr"/>
      <c r="AGT79" s="278" t="inlineStr"/>
      <c r="AGU79" s="278" t="inlineStr"/>
      <c r="AGV79" s="278" t="inlineStr"/>
      <c r="AGW79" s="278" t="inlineStr"/>
      <c r="AGX79" s="278" t="inlineStr"/>
      <c r="AGY79" s="278" t="inlineStr"/>
      <c r="AGZ79" s="278" t="inlineStr"/>
      <c r="AHA79" s="278" t="inlineStr"/>
      <c r="AHB79" s="278" t="inlineStr"/>
      <c r="AHC79" s="278" t="inlineStr"/>
      <c r="AHD79" s="278" t="inlineStr"/>
      <c r="AHE79" s="278" t="inlineStr"/>
      <c r="AHF79" s="278" t="inlineStr"/>
      <c r="AHG79" s="278" t="inlineStr"/>
      <c r="AHH79" s="278" t="inlineStr"/>
      <c r="AHI79" s="278" t="inlineStr"/>
      <c r="AHJ79" s="278" t="inlineStr"/>
      <c r="AHK79" s="278" t="inlineStr"/>
      <c r="AHL79" s="278" t="inlineStr"/>
      <c r="AHM79" s="278" t="inlineStr"/>
      <c r="AHN79" s="278" t="inlineStr"/>
      <c r="AHO79" s="278" t="inlineStr"/>
      <c r="AHP79" s="278" t="inlineStr"/>
      <c r="AHQ79" s="278" t="inlineStr"/>
      <c r="AHR79" s="278" t="inlineStr"/>
      <c r="AHS79" s="278" t="inlineStr"/>
      <c r="AHT79" s="278" t="inlineStr"/>
      <c r="AHU79" s="278" t="inlineStr"/>
      <c r="AHV79" s="278" t="inlineStr"/>
      <c r="AHW79" s="278" t="inlineStr"/>
      <c r="AHX79" s="278" t="inlineStr"/>
      <c r="AHY79" s="278" t="inlineStr"/>
      <c r="AHZ79" s="278" t="inlineStr"/>
      <c r="AIA79" s="278" t="inlineStr"/>
      <c r="AIB79" s="278" t="inlineStr"/>
      <c r="AIC79" s="278" t="inlineStr"/>
      <c r="AID79" s="278" t="inlineStr"/>
      <c r="AIE79" s="278" t="inlineStr"/>
      <c r="AIF79" s="278" t="inlineStr"/>
      <c r="AIG79" s="278" t="inlineStr"/>
      <c r="AIH79" s="278" t="inlineStr"/>
      <c r="AII79" s="278" t="inlineStr"/>
      <c r="AIJ79" s="278" t="inlineStr"/>
      <c r="AIK79" s="278" t="inlineStr"/>
      <c r="AIL79" s="278" t="inlineStr"/>
      <c r="AIM79" s="278" t="inlineStr"/>
      <c r="AIN79" s="278" t="inlineStr"/>
      <c r="AIO79" s="278" t="inlineStr"/>
      <c r="AIP79" s="278" t="inlineStr"/>
      <c r="AIQ79" s="278" t="inlineStr"/>
      <c r="AIR79" s="278" t="inlineStr"/>
      <c r="AIS79" s="278" t="inlineStr"/>
      <c r="AIT79" s="278" t="inlineStr"/>
      <c r="AIU79" s="278" t="inlineStr"/>
      <c r="AIV79" s="278" t="inlineStr"/>
      <c r="AIW79" s="278" t="inlineStr"/>
      <c r="AIX79" s="278" t="inlineStr"/>
      <c r="AIY79" s="278" t="inlineStr"/>
      <c r="AIZ79" s="278" t="inlineStr"/>
      <c r="AJA79" s="278" t="inlineStr"/>
      <c r="AJB79" s="278" t="inlineStr"/>
      <c r="AJC79" s="278" t="inlineStr"/>
      <c r="AJD79" s="278" t="inlineStr"/>
      <c r="AJE79" s="278" t="inlineStr"/>
      <c r="AJF79" s="278" t="inlineStr"/>
      <c r="AJG79" s="278" t="inlineStr"/>
      <c r="AJH79" s="278" t="inlineStr"/>
      <c r="AJI79" s="278" t="inlineStr"/>
      <c r="AJJ79" s="278" t="inlineStr"/>
      <c r="AJK79" s="278" t="inlineStr"/>
      <c r="AJL79" s="278" t="inlineStr"/>
      <c r="AJM79" s="278" t="inlineStr"/>
      <c r="AJN79" s="278" t="inlineStr"/>
      <c r="AJO79" s="278" t="inlineStr"/>
      <c r="AJP79" s="278" t="inlineStr"/>
      <c r="AJQ79" s="278" t="inlineStr"/>
      <c r="AJR79" s="278" t="inlineStr"/>
      <c r="AJS79" s="278" t="inlineStr"/>
      <c r="AJT79" s="278" t="inlineStr"/>
      <c r="AJU79" s="278" t="inlineStr"/>
      <c r="AJV79" s="278" t="inlineStr"/>
      <c r="AJW79" s="278" t="inlineStr"/>
      <c r="AJX79" s="278" t="inlineStr"/>
      <c r="AJY79" s="278" t="inlineStr"/>
      <c r="AJZ79" s="278" t="inlineStr"/>
      <c r="AKA79" s="278" t="inlineStr"/>
      <c r="AKB79" s="278" t="inlineStr"/>
      <c r="AKC79" s="278" t="inlineStr"/>
      <c r="AKD79" s="278" t="inlineStr"/>
      <c r="AKE79" s="278" t="inlineStr"/>
      <c r="AKF79" s="278" t="inlineStr"/>
      <c r="AKG79" s="278" t="inlineStr"/>
      <c r="AKH79" s="278" t="inlineStr"/>
      <c r="AKI79" s="278" t="inlineStr"/>
      <c r="AKJ79" s="278" t="inlineStr"/>
      <c r="AKK79" s="278" t="inlineStr"/>
      <c r="AKL79" s="278" t="inlineStr"/>
      <c r="AKM79" s="278" t="inlineStr"/>
      <c r="AKN79" s="278" t="inlineStr"/>
      <c r="AKO79" s="278" t="inlineStr"/>
      <c r="AKP79" s="278" t="inlineStr"/>
      <c r="AKQ79" s="278" t="inlineStr"/>
      <c r="AKR79" s="278" t="inlineStr"/>
      <c r="AKS79" s="278" t="inlineStr"/>
      <c r="AKT79" s="278" t="inlineStr"/>
      <c r="AKU79" s="278" t="inlineStr"/>
      <c r="AKV79" s="278" t="inlineStr"/>
      <c r="AKW79" s="278" t="inlineStr"/>
      <c r="AKX79" s="278" t="inlineStr"/>
      <c r="AKY79" s="278" t="inlineStr"/>
      <c r="AKZ79" s="278" t="inlineStr"/>
      <c r="ALA79" s="278" t="inlineStr"/>
      <c r="ALB79" s="278" t="inlineStr"/>
      <c r="ALC79" s="278" t="inlineStr"/>
      <c r="ALD79" s="278" t="inlineStr"/>
      <c r="ALE79" s="278" t="inlineStr"/>
      <c r="ALF79" s="278" t="inlineStr"/>
      <c r="ALG79" s="278" t="inlineStr"/>
      <c r="ALH79" s="278" t="inlineStr"/>
      <c r="ALI79" s="278" t="inlineStr"/>
      <c r="ALJ79" s="278" t="inlineStr"/>
      <c r="ALK79" s="278" t="inlineStr"/>
      <c r="ALL79" s="278" t="inlineStr"/>
      <c r="ALM79" s="278" t="inlineStr"/>
      <c r="ALN79" s="278" t="inlineStr"/>
      <c r="ALO79" s="278" t="inlineStr"/>
      <c r="ALP79" s="278" t="inlineStr"/>
      <c r="ALQ79" s="278" t="inlineStr"/>
      <c r="ALR79" s="278" t="inlineStr"/>
      <c r="ALS79" s="278" t="inlineStr"/>
      <c r="ALT79" s="278" t="inlineStr"/>
      <c r="ALU79" s="278" t="inlineStr"/>
      <c r="ALV79" s="278" t="inlineStr"/>
      <c r="ALW79" s="278" t="inlineStr"/>
      <c r="ALX79" s="278" t="inlineStr"/>
      <c r="ALY79" s="278" t="inlineStr"/>
      <c r="ALZ79" s="278" t="inlineStr"/>
      <c r="AMA79" s="278" t="inlineStr"/>
      <c r="AMB79" s="278" t="inlineStr"/>
      <c r="AMC79" s="278" t="inlineStr"/>
      <c r="AMD79" s="278" t="inlineStr"/>
      <c r="AME79" s="278" t="inlineStr"/>
      <c r="AMF79" s="278" t="inlineStr"/>
      <c r="AMG79" s="278" t="inlineStr"/>
      <c r="AMH79" s="278" t="inlineStr"/>
      <c r="AMI79" s="278" t="inlineStr"/>
      <c r="AMJ79" s="278" t="inlineStr"/>
      <c r="AMK79" s="278" t="inlineStr"/>
      <c r="AML79" s="278" t="inlineStr"/>
      <c r="AMM79" s="278" t="inlineStr"/>
      <c r="AMN79" s="278" t="inlineStr"/>
      <c r="AMO79" s="278" t="inlineStr"/>
      <c r="AMP79" s="278" t="inlineStr"/>
      <c r="AMQ79" s="278" t="inlineStr"/>
      <c r="AMR79" s="278" t="inlineStr"/>
      <c r="AMS79" s="278" t="inlineStr"/>
      <c r="AMT79" s="278" t="inlineStr"/>
      <c r="AMU79" s="278" t="inlineStr"/>
      <c r="AMV79" s="278" t="inlineStr"/>
      <c r="AMW79" s="278" t="inlineStr"/>
      <c r="AMX79" s="278" t="inlineStr"/>
      <c r="AMY79" s="278" t="inlineStr"/>
      <c r="AMZ79" s="278" t="inlineStr"/>
      <c r="ANA79" s="278" t="inlineStr"/>
      <c r="ANB79" s="278" t="inlineStr"/>
      <c r="ANC79" s="278" t="inlineStr"/>
      <c r="AND79" s="278" t="inlineStr"/>
      <c r="ANE79" s="278" t="inlineStr"/>
      <c r="ANF79" s="278" t="inlineStr"/>
      <c r="ANG79" s="278" t="inlineStr"/>
      <c r="ANH79" s="278" t="inlineStr"/>
      <c r="ANI79" s="278" t="inlineStr"/>
      <c r="ANJ79" s="278" t="inlineStr"/>
      <c r="ANK79" s="278" t="inlineStr"/>
      <c r="ANL79" s="278" t="inlineStr"/>
      <c r="ANM79" s="278" t="inlineStr"/>
      <c r="ANN79" s="278" t="inlineStr"/>
      <c r="ANO79" s="278" t="inlineStr"/>
      <c r="ANP79" s="278" t="inlineStr"/>
      <c r="ANQ79" s="278" t="inlineStr"/>
      <c r="ANR79" s="278" t="inlineStr"/>
      <c r="ANS79" s="278" t="inlineStr"/>
      <c r="ANT79" s="278" t="inlineStr"/>
      <c r="ANU79" s="278" t="inlineStr"/>
      <c r="ANV79" s="278" t="inlineStr"/>
      <c r="ANW79" s="278" t="inlineStr"/>
      <c r="ANX79" s="278" t="inlineStr"/>
      <c r="ANY79" s="278" t="inlineStr"/>
      <c r="ANZ79" s="278" t="inlineStr"/>
      <c r="AOA79" s="278" t="inlineStr"/>
      <c r="AOB79" s="278" t="inlineStr"/>
      <c r="AOC79" s="278" t="inlineStr"/>
      <c r="AOD79" s="278" t="inlineStr"/>
      <c r="AOE79" s="278" t="inlineStr"/>
      <c r="AOF79" s="278" t="inlineStr"/>
      <c r="AOG79" s="278" t="inlineStr"/>
      <c r="AOH79" s="278" t="inlineStr"/>
      <c r="AOI79" s="278" t="inlineStr"/>
      <c r="AOJ79" s="278" t="inlineStr"/>
      <c r="AOK79" s="278" t="inlineStr"/>
      <c r="AOL79" s="278" t="inlineStr"/>
      <c r="AOM79" s="278" t="inlineStr"/>
      <c r="AON79" s="278" t="inlineStr"/>
      <c r="AOO79" s="278" t="inlineStr"/>
      <c r="AOP79" s="278" t="inlineStr"/>
      <c r="AOQ79" s="278" t="inlineStr"/>
      <c r="AOR79" s="278" t="inlineStr"/>
      <c r="AOS79" s="278" t="inlineStr"/>
      <c r="AOT79" s="278" t="inlineStr"/>
      <c r="AOU79" s="278" t="inlineStr"/>
      <c r="AOV79" s="278" t="inlineStr"/>
      <c r="AOW79" s="278" t="inlineStr"/>
      <c r="AOX79" s="278" t="inlineStr"/>
      <c r="AOY79" s="278" t="inlineStr"/>
      <c r="AOZ79" s="278" t="inlineStr"/>
      <c r="APA79" s="278" t="inlineStr"/>
      <c r="APB79" s="278" t="inlineStr"/>
      <c r="APC79" s="278" t="inlineStr"/>
      <c r="APD79" s="278" t="inlineStr"/>
      <c r="APE79" s="278" t="inlineStr"/>
      <c r="APF79" s="278" t="inlineStr"/>
      <c r="APG79" s="278" t="inlineStr"/>
      <c r="APH79" s="278" t="inlineStr"/>
      <c r="API79" s="278" t="inlineStr"/>
      <c r="APJ79" s="278" t="inlineStr"/>
      <c r="APK79" s="278" t="inlineStr"/>
      <c r="APL79" s="278" t="inlineStr"/>
      <c r="APM79" s="278" t="inlineStr"/>
      <c r="APN79" s="278" t="inlineStr"/>
      <c r="APO79" s="278" t="inlineStr"/>
      <c r="APP79" s="278" t="inlineStr"/>
      <c r="APQ79" s="278" t="inlineStr"/>
      <c r="APR79" s="278" t="inlineStr"/>
      <c r="APS79" s="278" t="inlineStr"/>
      <c r="APT79" s="278" t="inlineStr"/>
      <c r="APU79" s="278" t="inlineStr"/>
      <c r="APV79" s="278" t="inlineStr"/>
      <c r="APW79" s="278" t="inlineStr"/>
      <c r="APX79" s="278" t="inlineStr"/>
      <c r="APY79" s="278" t="inlineStr"/>
      <c r="APZ79" s="278" t="inlineStr"/>
      <c r="AQA79" s="278" t="inlineStr"/>
      <c r="AQB79" s="278" t="inlineStr"/>
      <c r="AQC79" s="278" t="inlineStr"/>
      <c r="AQD79" s="278" t="inlineStr"/>
      <c r="AQE79" s="278" t="inlineStr"/>
      <c r="AQF79" s="278" t="inlineStr"/>
      <c r="AQG79" s="278" t="inlineStr"/>
      <c r="AQH79" s="278" t="inlineStr"/>
      <c r="AQI79" s="278" t="inlineStr"/>
      <c r="AQJ79" s="278" t="inlineStr"/>
      <c r="AQK79" s="278" t="inlineStr"/>
      <c r="AQL79" s="278" t="inlineStr"/>
      <c r="AQM79" s="278" t="inlineStr"/>
      <c r="AQN79" s="278" t="inlineStr"/>
      <c r="AQO79" s="278" t="inlineStr"/>
      <c r="AQP79" s="278" t="inlineStr"/>
      <c r="AQQ79" s="278" t="inlineStr"/>
      <c r="AQR79" s="278" t="inlineStr"/>
      <c r="AQS79" s="278" t="inlineStr"/>
      <c r="AQT79" s="278" t="inlineStr"/>
      <c r="AQU79" s="278" t="inlineStr"/>
      <c r="AQV79" s="278" t="inlineStr"/>
      <c r="AQW79" s="278" t="inlineStr"/>
      <c r="AQX79" s="278" t="inlineStr"/>
      <c r="AQY79" s="278" t="inlineStr"/>
      <c r="AQZ79" s="278" t="inlineStr"/>
      <c r="ARA79" s="278" t="inlineStr"/>
      <c r="ARB79" s="278" t="inlineStr"/>
      <c r="ARC79" s="278" t="inlineStr"/>
      <c r="ARD79" s="278" t="inlineStr"/>
      <c r="ARE79" s="278" t="inlineStr"/>
      <c r="ARF79" s="278" t="inlineStr"/>
      <c r="ARG79" s="278" t="inlineStr"/>
      <c r="ARH79" s="278" t="inlineStr"/>
      <c r="ARI79" s="278" t="inlineStr"/>
      <c r="ARJ79" s="278" t="inlineStr"/>
      <c r="ARK79" s="278" t="inlineStr"/>
      <c r="ARL79" s="278" t="inlineStr"/>
      <c r="ARM79" s="278" t="inlineStr"/>
      <c r="ARN79" s="278" t="inlineStr"/>
      <c r="ARO79" s="278" t="inlineStr"/>
      <c r="ARP79" s="278" t="inlineStr"/>
      <c r="ARQ79" s="278" t="inlineStr"/>
      <c r="ARR79" s="278" t="inlineStr"/>
      <c r="ARS79" s="278" t="inlineStr"/>
      <c r="ART79" s="278" t="inlineStr"/>
      <c r="ARU79" s="278" t="inlineStr"/>
      <c r="ARV79" s="278" t="inlineStr"/>
      <c r="ARW79" s="278" t="inlineStr"/>
      <c r="ARX79" s="278" t="inlineStr"/>
      <c r="ARY79" s="278" t="inlineStr"/>
      <c r="ARZ79" s="278" t="inlineStr"/>
      <c r="ASA79" s="278" t="inlineStr"/>
      <c r="ASB79" s="278" t="inlineStr"/>
      <c r="ASC79" s="278" t="inlineStr"/>
      <c r="ASD79" s="278" t="inlineStr"/>
      <c r="ASE79" s="278" t="inlineStr"/>
      <c r="ASF79" s="278" t="inlineStr"/>
      <c r="ASG79" s="278" t="inlineStr"/>
      <c r="ASH79" s="278" t="inlineStr"/>
      <c r="ASI79" s="278" t="inlineStr"/>
      <c r="ASJ79" s="278" t="inlineStr"/>
      <c r="ASK79" s="278" t="inlineStr"/>
      <c r="ASL79" s="278" t="inlineStr"/>
      <c r="ASM79" s="278" t="inlineStr"/>
      <c r="ASN79" s="278" t="inlineStr"/>
      <c r="ASO79" s="278" t="inlineStr"/>
      <c r="ASP79" s="278" t="inlineStr"/>
      <c r="ASQ79" s="278" t="inlineStr"/>
      <c r="ASR79" s="278" t="inlineStr"/>
      <c r="ASS79" s="278" t="inlineStr"/>
      <c r="AST79" s="278" t="inlineStr"/>
      <c r="ASU79" s="278" t="inlineStr"/>
      <c r="ASV79" s="278" t="inlineStr"/>
      <c r="ASW79" s="278" t="inlineStr"/>
      <c r="ASX79" s="278" t="inlineStr"/>
      <c r="ASY79" s="278" t="inlineStr"/>
      <c r="ASZ79" s="278" t="inlineStr"/>
      <c r="ATA79" s="278" t="inlineStr"/>
      <c r="ATB79" s="278" t="inlineStr"/>
      <c r="ATC79" s="278" t="inlineStr"/>
      <c r="ATD79" s="278" t="inlineStr"/>
      <c r="ATE79" s="278" t="inlineStr"/>
      <c r="ATF79" s="278" t="inlineStr"/>
      <c r="ATG79" s="278" t="inlineStr"/>
      <c r="ATH79" s="278" t="inlineStr"/>
      <c r="ATI79" s="278" t="inlineStr"/>
      <c r="ATJ79" s="278" t="inlineStr"/>
      <c r="ATK79" s="278" t="inlineStr"/>
      <c r="ATL79" s="278" t="inlineStr"/>
      <c r="ATM79" s="278" t="inlineStr"/>
      <c r="ATN79" s="278" t="inlineStr"/>
      <c r="ATO79" s="278" t="inlineStr"/>
      <c r="ATP79" s="278" t="inlineStr"/>
      <c r="ATQ79" s="278" t="inlineStr"/>
      <c r="ATR79" s="278" t="inlineStr"/>
      <c r="ATS79" s="278" t="inlineStr"/>
      <c r="ATT79" s="278" t="inlineStr"/>
      <c r="ATU79" s="278" t="inlineStr"/>
      <c r="ATV79" s="278" t="inlineStr"/>
      <c r="ATW79" s="278" t="inlineStr"/>
      <c r="ATX79" s="278" t="inlineStr"/>
      <c r="ATY79" s="278" t="inlineStr"/>
      <c r="ATZ79" s="278" t="inlineStr"/>
      <c r="AUA79" s="278" t="inlineStr"/>
      <c r="AUB79" s="278" t="inlineStr"/>
      <c r="AUC79" s="278" t="inlineStr"/>
      <c r="AUD79" s="278" t="inlineStr"/>
      <c r="AUE79" s="278" t="inlineStr"/>
      <c r="AUF79" s="278" t="inlineStr"/>
      <c r="AUG79" s="278" t="inlineStr"/>
      <c r="AUH79" s="278" t="inlineStr"/>
      <c r="AUI79" s="278" t="inlineStr"/>
      <c r="AUJ79" s="278" t="inlineStr"/>
      <c r="AUK79" s="278" t="inlineStr"/>
      <c r="AUL79" s="278" t="inlineStr"/>
      <c r="AUM79" s="278" t="inlineStr"/>
      <c r="AUN79" s="278" t="inlineStr"/>
      <c r="AUO79" s="278" t="inlineStr"/>
      <c r="AUP79" s="278" t="inlineStr"/>
      <c r="AUQ79" s="278" t="inlineStr"/>
      <c r="AUR79" s="278" t="inlineStr"/>
      <c r="AUS79" s="278" t="inlineStr"/>
      <c r="AUT79" s="278" t="inlineStr"/>
      <c r="AUU79" s="278" t="inlineStr"/>
      <c r="AUV79" s="278" t="inlineStr"/>
      <c r="AUW79" s="278" t="inlineStr"/>
      <c r="AUX79" s="278" t="inlineStr"/>
      <c r="AUY79" s="278" t="inlineStr"/>
      <c r="AUZ79" s="278" t="inlineStr"/>
      <c r="AVA79" s="278" t="inlineStr"/>
      <c r="AVB79" s="278" t="inlineStr"/>
      <c r="AVC79" s="278" t="inlineStr"/>
      <c r="AVD79" s="278" t="inlineStr"/>
      <c r="AVE79" s="278" t="inlineStr"/>
      <c r="AVF79" s="278" t="inlineStr"/>
      <c r="AVG79" s="278" t="inlineStr"/>
      <c r="AVH79" s="278" t="inlineStr"/>
      <c r="AVI79" s="278" t="inlineStr"/>
      <c r="AVJ79" s="278" t="inlineStr"/>
      <c r="AVK79" s="278" t="inlineStr"/>
      <c r="AVL79" s="278" t="inlineStr"/>
      <c r="AVM79" s="278" t="inlineStr"/>
      <c r="AVN79" s="278" t="inlineStr"/>
      <c r="AVO79" s="278" t="inlineStr"/>
      <c r="AVP79" s="278" t="inlineStr"/>
      <c r="AVQ79" s="278" t="inlineStr"/>
      <c r="AVR79" s="278" t="inlineStr"/>
      <c r="AVS79" s="278" t="inlineStr"/>
      <c r="AVT79" s="278" t="inlineStr"/>
      <c r="AVU79" s="278" t="inlineStr"/>
      <c r="AVV79" s="278" t="inlineStr"/>
      <c r="AVW79" s="278" t="inlineStr"/>
      <c r="AVX79" s="278" t="inlineStr"/>
      <c r="AVY79" s="278" t="inlineStr"/>
      <c r="AVZ79" s="278" t="inlineStr"/>
      <c r="AWA79" s="278" t="inlineStr"/>
      <c r="AWB79" s="278" t="inlineStr"/>
      <c r="AWC79" s="278" t="inlineStr"/>
      <c r="AWD79" s="278" t="inlineStr"/>
      <c r="AWE79" s="278" t="inlineStr"/>
      <c r="AWF79" s="278" t="inlineStr"/>
      <c r="AWG79" s="278" t="inlineStr"/>
      <c r="AWH79" s="278" t="inlineStr"/>
      <c r="AWI79" s="278" t="inlineStr"/>
      <c r="AWJ79" s="278" t="inlineStr"/>
      <c r="AWK79" s="278" t="inlineStr"/>
      <c r="AWL79" s="278" t="inlineStr"/>
      <c r="AWM79" s="278" t="inlineStr"/>
      <c r="AWN79" s="278" t="inlineStr"/>
      <c r="AWO79" s="278" t="inlineStr"/>
      <c r="AWP79" s="278" t="inlineStr"/>
      <c r="AWQ79" s="278" t="inlineStr"/>
      <c r="AWR79" s="278" t="inlineStr"/>
      <c r="AWS79" s="278" t="inlineStr"/>
      <c r="AWT79" s="278" t="inlineStr"/>
      <c r="AWU79" s="278" t="inlineStr"/>
      <c r="AWV79" s="278" t="inlineStr"/>
      <c r="AWW79" s="278" t="inlineStr"/>
      <c r="AWX79" s="278" t="inlineStr"/>
      <c r="AWY79" s="278" t="inlineStr"/>
      <c r="AWZ79" s="278" t="inlineStr"/>
      <c r="AXA79" s="278" t="inlineStr"/>
      <c r="AXB79" s="278" t="inlineStr"/>
      <c r="AXC79" s="278" t="inlineStr"/>
      <c r="AXD79" s="278" t="inlineStr"/>
      <c r="AXE79" s="278" t="inlineStr"/>
      <c r="AXF79" s="278" t="inlineStr"/>
      <c r="AXG79" s="278" t="inlineStr"/>
      <c r="AXH79" s="278" t="inlineStr"/>
      <c r="AXI79" s="278" t="inlineStr"/>
      <c r="AXJ79" s="278" t="inlineStr"/>
      <c r="AXK79" s="278" t="inlineStr"/>
      <c r="AXL79" s="278" t="inlineStr"/>
      <c r="AXM79" s="278" t="inlineStr"/>
      <c r="AXN79" s="278" t="inlineStr"/>
      <c r="AXO79" s="278" t="inlineStr"/>
      <c r="AXP79" s="278" t="inlineStr"/>
      <c r="AXQ79" s="278" t="inlineStr"/>
      <c r="AXR79" s="278" t="inlineStr"/>
      <c r="AXS79" s="278" t="inlineStr"/>
      <c r="AXT79" s="278" t="inlineStr"/>
      <c r="AXU79" s="278" t="inlineStr"/>
      <c r="AXV79" s="278" t="inlineStr"/>
      <c r="AXW79" s="278" t="inlineStr"/>
      <c r="AXX79" s="278" t="inlineStr"/>
      <c r="AXY79" s="278" t="inlineStr"/>
      <c r="AXZ79" s="278" t="inlineStr"/>
      <c r="AYA79" s="278" t="inlineStr"/>
      <c r="AYB79" s="278" t="inlineStr"/>
      <c r="AYC79" s="278" t="inlineStr"/>
      <c r="AYD79" s="278" t="inlineStr"/>
      <c r="AYE79" s="278" t="inlineStr"/>
      <c r="AYF79" s="278" t="inlineStr"/>
      <c r="AYG79" s="278" t="inlineStr"/>
      <c r="AYH79" s="278" t="inlineStr"/>
      <c r="AYI79" s="278" t="inlineStr"/>
      <c r="AYJ79" s="278" t="inlineStr"/>
      <c r="AYK79" s="278" t="inlineStr"/>
      <c r="AYL79" s="278" t="inlineStr"/>
      <c r="AYM79" s="278" t="inlineStr"/>
      <c r="AYN79" s="278" t="inlineStr"/>
      <c r="AYO79" s="278" t="inlineStr"/>
      <c r="AYP79" s="278" t="inlineStr"/>
      <c r="AYQ79" s="278" t="inlineStr"/>
      <c r="AYR79" s="278" t="inlineStr"/>
      <c r="AYS79" s="278" t="inlineStr"/>
      <c r="AYT79" s="278" t="inlineStr"/>
      <c r="AYU79" s="278" t="inlineStr"/>
      <c r="AYV79" s="278" t="inlineStr"/>
      <c r="AYW79" s="278" t="inlineStr"/>
      <c r="AYX79" s="278" t="inlineStr"/>
      <c r="AYY79" s="278" t="inlineStr"/>
      <c r="AYZ79" s="278" t="inlineStr"/>
      <c r="AZA79" s="278" t="inlineStr"/>
      <c r="AZB79" s="278" t="inlineStr"/>
      <c r="AZC79" s="278" t="inlineStr"/>
      <c r="AZD79" s="278" t="inlineStr"/>
      <c r="AZE79" s="278" t="inlineStr"/>
      <c r="AZF79" s="278" t="inlineStr"/>
      <c r="AZG79" s="278" t="inlineStr"/>
      <c r="AZH79" s="278" t="inlineStr"/>
      <c r="AZI79" s="278" t="inlineStr"/>
      <c r="AZJ79" s="278" t="inlineStr"/>
      <c r="AZK79" s="278" t="inlineStr"/>
      <c r="AZL79" s="278" t="inlineStr"/>
      <c r="AZM79" s="278" t="inlineStr"/>
      <c r="AZN79" s="278" t="inlineStr"/>
      <c r="AZO79" s="278" t="inlineStr"/>
      <c r="AZP79" s="278" t="inlineStr"/>
      <c r="AZQ79" s="278" t="inlineStr"/>
      <c r="AZR79" s="278" t="inlineStr"/>
      <c r="AZS79" s="278" t="inlineStr"/>
      <c r="AZT79" s="278" t="inlineStr"/>
      <c r="AZU79" s="278" t="inlineStr"/>
      <c r="AZV79" s="278" t="inlineStr"/>
      <c r="AZW79" s="278" t="inlineStr"/>
      <c r="AZX79" s="278" t="inlineStr"/>
      <c r="AZY79" s="278" t="inlineStr"/>
      <c r="AZZ79" s="278" t="inlineStr"/>
      <c r="BAA79" s="278" t="inlineStr"/>
      <c r="BAB79" s="278" t="inlineStr"/>
      <c r="BAC79" s="278" t="inlineStr"/>
      <c r="BAD79" s="278" t="inlineStr"/>
      <c r="BAE79" s="278" t="inlineStr"/>
      <c r="BAF79" s="278" t="inlineStr"/>
      <c r="BAG79" s="278" t="inlineStr"/>
      <c r="BAH79" s="278" t="inlineStr"/>
      <c r="BAI79" s="278" t="inlineStr"/>
      <c r="BAJ79" s="278" t="inlineStr"/>
      <c r="BAK79" s="278" t="inlineStr"/>
      <c r="BAL79" s="278" t="inlineStr"/>
      <c r="BAM79" s="278" t="inlineStr"/>
      <c r="BAN79" s="278" t="inlineStr"/>
      <c r="BAO79" s="278" t="inlineStr"/>
      <c r="BAP79" s="278" t="inlineStr"/>
      <c r="BAQ79" s="278" t="inlineStr"/>
      <c r="BAR79" s="278" t="inlineStr"/>
      <c r="BAS79" s="278" t="inlineStr"/>
      <c r="BAT79" s="278" t="inlineStr"/>
      <c r="BAU79" s="278" t="inlineStr"/>
      <c r="BAV79" s="278" t="inlineStr"/>
      <c r="BAW79" s="278" t="inlineStr"/>
      <c r="BAX79" s="278" t="inlineStr"/>
      <c r="BAY79" s="278" t="inlineStr"/>
      <c r="BAZ79" s="278" t="inlineStr"/>
      <c r="BBA79" s="278" t="inlineStr"/>
      <c r="BBB79" s="278" t="inlineStr"/>
      <c r="BBC79" s="278" t="inlineStr"/>
      <c r="BBD79" s="278" t="inlineStr"/>
      <c r="BBE79" s="278" t="inlineStr"/>
      <c r="BBF79" s="278" t="inlineStr"/>
      <c r="BBG79" s="278" t="inlineStr"/>
      <c r="BBH79" s="278" t="inlineStr"/>
      <c r="BBI79" s="278" t="inlineStr"/>
      <c r="BBJ79" s="278" t="inlineStr"/>
      <c r="BBK79" s="278" t="inlineStr"/>
      <c r="BBL79" s="278" t="inlineStr"/>
      <c r="BBM79" s="278" t="inlineStr"/>
      <c r="BBN79" s="278" t="inlineStr"/>
      <c r="BBO79" s="278" t="inlineStr"/>
      <c r="BBP79" s="278" t="inlineStr"/>
      <c r="BBQ79" s="278" t="inlineStr"/>
      <c r="BBR79" s="278" t="inlineStr"/>
      <c r="BBS79" s="278" t="inlineStr"/>
      <c r="BBT79" s="278" t="inlineStr"/>
      <c r="BBU79" s="278" t="inlineStr"/>
      <c r="BBV79" s="278" t="inlineStr"/>
      <c r="BBW79" s="278" t="inlineStr"/>
      <c r="BBX79" s="278" t="inlineStr"/>
      <c r="BBY79" s="278" t="inlineStr"/>
      <c r="BBZ79" s="278" t="inlineStr"/>
      <c r="BCA79" s="278" t="inlineStr"/>
      <c r="BCB79" s="278" t="inlineStr"/>
      <c r="BCC79" s="278" t="inlineStr"/>
      <c r="BCD79" s="278" t="inlineStr"/>
      <c r="BCE79" s="278" t="inlineStr"/>
      <c r="BCF79" s="278" t="inlineStr"/>
      <c r="BCG79" s="278" t="inlineStr"/>
      <c r="BCH79" s="278" t="inlineStr"/>
      <c r="BCI79" s="278" t="inlineStr"/>
      <c r="BCJ79" s="278" t="inlineStr"/>
      <c r="BCK79" s="278" t="inlineStr"/>
      <c r="BCL79" s="278" t="inlineStr"/>
      <c r="BCM79" s="278" t="inlineStr"/>
      <c r="BCN79" s="278" t="inlineStr"/>
      <c r="BCO79" s="278" t="inlineStr"/>
      <c r="BCP79" s="278" t="inlineStr"/>
      <c r="BCQ79" s="278" t="inlineStr"/>
      <c r="BCR79" s="278" t="inlineStr"/>
      <c r="BCS79" s="278" t="inlineStr"/>
      <c r="BCT79" s="278" t="inlineStr"/>
      <c r="BCU79" s="278" t="inlineStr"/>
      <c r="BCV79" s="278" t="inlineStr"/>
      <c r="BCW79" s="278" t="inlineStr"/>
      <c r="BCX79" s="278" t="inlineStr"/>
      <c r="BCY79" s="278" t="inlineStr"/>
      <c r="BCZ79" s="278" t="inlineStr"/>
      <c r="BDA79" s="278" t="inlineStr"/>
      <c r="BDB79" s="278" t="inlineStr"/>
      <c r="BDC79" s="278" t="inlineStr"/>
      <c r="BDD79" s="278" t="inlineStr"/>
      <c r="BDE79" s="278" t="inlineStr"/>
      <c r="BDF79" s="278" t="inlineStr"/>
      <c r="BDG79" s="278" t="inlineStr"/>
      <c r="BDH79" s="278" t="inlineStr"/>
      <c r="BDI79" s="278" t="inlineStr"/>
      <c r="BDJ79" s="278" t="inlineStr"/>
      <c r="BDK79" s="278" t="inlineStr"/>
      <c r="BDL79" s="278" t="inlineStr"/>
      <c r="BDM79" s="278" t="inlineStr"/>
      <c r="BDN79" s="278" t="inlineStr"/>
      <c r="BDO79" s="278" t="inlineStr"/>
      <c r="BDP79" s="278" t="inlineStr"/>
      <c r="BDQ79" s="278" t="inlineStr"/>
      <c r="BDR79" s="278" t="inlineStr"/>
      <c r="BDS79" s="278" t="inlineStr"/>
      <c r="BDT79" s="278" t="inlineStr"/>
      <c r="BDU79" s="278" t="inlineStr"/>
      <c r="BDV79" s="278" t="inlineStr"/>
      <c r="BDW79" s="278" t="inlineStr"/>
      <c r="BDX79" s="278" t="inlineStr"/>
      <c r="BDY79" s="278" t="inlineStr"/>
      <c r="BDZ79" s="278" t="inlineStr"/>
      <c r="BEA79" s="278" t="inlineStr"/>
      <c r="BEB79" s="278" t="inlineStr"/>
      <c r="BEC79" s="278" t="inlineStr"/>
      <c r="BED79" s="278" t="inlineStr"/>
      <c r="BEE79" s="278" t="inlineStr"/>
      <c r="BEF79" s="278" t="inlineStr"/>
      <c r="BEG79" s="278" t="inlineStr"/>
      <c r="BEH79" s="278" t="inlineStr"/>
      <c r="BEI79" s="278" t="inlineStr"/>
      <c r="BEJ79" s="278" t="inlineStr"/>
      <c r="BEK79" s="278" t="inlineStr"/>
      <c r="BEL79" s="278" t="inlineStr"/>
      <c r="BEM79" s="278" t="inlineStr"/>
      <c r="BEN79" s="278" t="inlineStr"/>
      <c r="BEO79" s="278" t="inlineStr"/>
      <c r="BEP79" s="278" t="inlineStr"/>
      <c r="BEQ79" s="278" t="inlineStr"/>
      <c r="BER79" s="278" t="inlineStr"/>
      <c r="BES79" s="278" t="inlineStr"/>
      <c r="BET79" s="278" t="inlineStr"/>
      <c r="BEU79" s="278" t="inlineStr"/>
      <c r="BEV79" s="278" t="inlineStr"/>
      <c r="BEW79" s="278" t="inlineStr"/>
      <c r="BEX79" s="278" t="inlineStr"/>
      <c r="BEY79" s="278" t="inlineStr"/>
      <c r="BEZ79" s="278" t="inlineStr"/>
      <c r="BFA79" s="278" t="inlineStr"/>
      <c r="BFB79" s="278" t="inlineStr"/>
      <c r="BFC79" s="278" t="inlineStr"/>
      <c r="BFD79" s="278" t="inlineStr"/>
      <c r="BFE79" s="278" t="inlineStr"/>
      <c r="BFF79" s="278" t="inlineStr"/>
      <c r="BFG79" s="278" t="inlineStr"/>
      <c r="BFH79" s="278" t="inlineStr"/>
      <c r="BFI79" s="278" t="inlineStr"/>
      <c r="BFJ79" s="278" t="inlineStr"/>
      <c r="BFK79" s="278" t="inlineStr"/>
      <c r="BFL79" s="278" t="inlineStr"/>
      <c r="BFM79" s="278" t="inlineStr"/>
      <c r="BFN79" s="278" t="inlineStr"/>
      <c r="BFO79" s="278" t="inlineStr"/>
      <c r="BFP79" s="278" t="inlineStr"/>
      <c r="BFQ79" s="278" t="inlineStr"/>
      <c r="BFR79" s="278" t="inlineStr"/>
      <c r="BFS79" s="278" t="inlineStr"/>
      <c r="BFT79" s="278" t="inlineStr"/>
      <c r="BFU79" s="278" t="inlineStr"/>
      <c r="BFV79" s="278" t="inlineStr"/>
      <c r="BFW79" s="278" t="inlineStr"/>
      <c r="BFX79" s="278" t="inlineStr"/>
      <c r="BFY79" s="278" t="inlineStr"/>
      <c r="BFZ79" s="278" t="inlineStr"/>
      <c r="BGA79" s="278" t="inlineStr"/>
      <c r="BGB79" s="278" t="inlineStr"/>
      <c r="BGC79" s="278" t="inlineStr"/>
      <c r="BGD79" s="278" t="inlineStr"/>
      <c r="BGE79" s="278" t="inlineStr"/>
      <c r="BGF79" s="278" t="inlineStr"/>
      <c r="BGG79" s="278" t="inlineStr"/>
      <c r="BGH79" s="278" t="inlineStr"/>
      <c r="BGI79" s="278" t="inlineStr"/>
      <c r="BGJ79" s="278" t="inlineStr"/>
      <c r="BGK79" s="278" t="inlineStr"/>
      <c r="BGL79" s="278" t="inlineStr"/>
      <c r="BGM79" s="278" t="inlineStr"/>
      <c r="BGN79" s="278" t="inlineStr"/>
      <c r="BGO79" s="278" t="inlineStr"/>
      <c r="BGP79" s="278" t="inlineStr"/>
      <c r="BGQ79" s="278" t="inlineStr"/>
      <c r="BGR79" s="278" t="inlineStr"/>
      <c r="BGS79" s="278" t="inlineStr"/>
      <c r="BGT79" s="278" t="inlineStr"/>
      <c r="BGU79" s="278" t="inlineStr"/>
      <c r="BGV79" s="278" t="inlineStr"/>
      <c r="BGW79" s="278" t="inlineStr"/>
      <c r="BGX79" s="278" t="inlineStr"/>
      <c r="BGY79" s="278" t="inlineStr"/>
      <c r="BGZ79" s="278" t="inlineStr"/>
      <c r="BHA79" s="278" t="inlineStr"/>
      <c r="BHB79" s="278" t="inlineStr"/>
      <c r="BHC79" s="278" t="inlineStr"/>
      <c r="BHD79" s="278" t="inlineStr"/>
      <c r="BHE79" s="278" t="inlineStr"/>
      <c r="BHF79" s="278" t="inlineStr"/>
      <c r="BHG79" s="278" t="inlineStr"/>
      <c r="BHH79" s="278" t="inlineStr"/>
      <c r="BHI79" s="278" t="inlineStr"/>
      <c r="BHJ79" s="278" t="inlineStr"/>
      <c r="BHK79" s="278" t="inlineStr"/>
      <c r="BHL79" s="278" t="inlineStr"/>
      <c r="BHM79" s="278" t="inlineStr"/>
      <c r="BHN79" s="278" t="inlineStr"/>
      <c r="BHO79" s="278" t="inlineStr"/>
      <c r="BHP79" s="278" t="inlineStr"/>
      <c r="BHQ79" s="278" t="inlineStr"/>
      <c r="BHR79" s="278" t="inlineStr"/>
      <c r="BHS79" s="278" t="inlineStr"/>
      <c r="BHT79" s="278" t="inlineStr"/>
      <c r="BHU79" s="278" t="inlineStr"/>
      <c r="BHV79" s="278" t="inlineStr"/>
      <c r="BHW79" s="278" t="inlineStr"/>
      <c r="BHX79" s="278" t="inlineStr"/>
      <c r="BHY79" s="278" t="inlineStr"/>
      <c r="BHZ79" s="278" t="inlineStr"/>
      <c r="BIA79" s="278" t="inlineStr"/>
      <c r="BIB79" s="278" t="inlineStr"/>
      <c r="BIC79" s="278" t="inlineStr"/>
      <c r="BID79" s="278" t="inlineStr"/>
      <c r="BIE79" s="278" t="inlineStr"/>
      <c r="BIF79" s="278" t="inlineStr"/>
      <c r="BIG79" s="278" t="inlineStr"/>
      <c r="BIH79" s="278" t="inlineStr"/>
      <c r="BII79" s="278" t="inlineStr"/>
      <c r="BIJ79" s="278" t="inlineStr"/>
      <c r="BIK79" s="278" t="inlineStr"/>
      <c r="BIL79" s="278" t="inlineStr"/>
      <c r="BIM79" s="278" t="inlineStr"/>
      <c r="BIN79" s="278" t="inlineStr"/>
      <c r="BIO79" s="278" t="inlineStr"/>
      <c r="BIP79" s="278" t="inlineStr"/>
      <c r="BIQ79" s="278" t="inlineStr"/>
      <c r="BIR79" s="278" t="inlineStr"/>
      <c r="BIS79" s="278" t="inlineStr"/>
      <c r="BIT79" s="278" t="inlineStr"/>
      <c r="BIU79" s="278" t="inlineStr"/>
      <c r="BIV79" s="278" t="inlineStr"/>
      <c r="BIW79" s="278" t="inlineStr"/>
      <c r="BIX79" s="278" t="inlineStr"/>
      <c r="BIY79" s="278" t="inlineStr"/>
      <c r="BIZ79" s="278" t="inlineStr"/>
      <c r="BJA79" s="278" t="inlineStr"/>
      <c r="BJB79" s="278" t="inlineStr"/>
      <c r="BJC79" s="278" t="inlineStr"/>
      <c r="BJD79" s="278" t="inlineStr"/>
      <c r="BJE79" s="278" t="inlineStr"/>
      <c r="BJF79" s="278" t="inlineStr"/>
      <c r="BJG79" s="278" t="inlineStr"/>
      <c r="BJH79" s="278" t="inlineStr"/>
      <c r="BJI79" s="278" t="inlineStr"/>
      <c r="BJJ79" s="278" t="inlineStr"/>
      <c r="BJK79" s="278" t="inlineStr"/>
      <c r="BJL79" s="278" t="inlineStr"/>
      <c r="BJM79" s="278" t="inlineStr"/>
      <c r="BJN79" s="278" t="inlineStr"/>
      <c r="BJO79" s="278" t="inlineStr"/>
      <c r="BJP79" s="278" t="inlineStr"/>
      <c r="BJQ79" s="278" t="inlineStr"/>
      <c r="BJR79" s="278" t="inlineStr"/>
      <c r="BJS79" s="278" t="inlineStr"/>
      <c r="BJT79" s="278" t="inlineStr"/>
      <c r="BJU79" s="278" t="inlineStr"/>
      <c r="BJV79" s="278" t="inlineStr"/>
      <c r="BJW79" s="278" t="inlineStr"/>
      <c r="BJX79" s="278" t="inlineStr"/>
      <c r="BJY79" s="278" t="inlineStr"/>
      <c r="BJZ79" s="278" t="inlineStr"/>
      <c r="BKA79" s="278" t="inlineStr"/>
      <c r="BKB79" s="278" t="inlineStr"/>
      <c r="BKC79" s="278" t="inlineStr"/>
      <c r="BKD79" s="278" t="inlineStr"/>
      <c r="BKE79" s="278" t="inlineStr"/>
      <c r="BKF79" s="278" t="inlineStr"/>
      <c r="BKG79" s="278" t="inlineStr"/>
      <c r="BKH79" s="278" t="inlineStr"/>
      <c r="BKI79" s="278" t="inlineStr"/>
      <c r="BKJ79" s="278" t="inlineStr"/>
      <c r="BKK79" s="278" t="inlineStr"/>
      <c r="BKL79" s="278" t="inlineStr"/>
      <c r="BKM79" s="278" t="inlineStr"/>
      <c r="BKN79" s="278" t="inlineStr"/>
      <c r="BKO79" s="278" t="inlineStr"/>
      <c r="BKP79" s="278" t="inlineStr"/>
      <c r="BKQ79" s="278" t="inlineStr"/>
      <c r="BKR79" s="278" t="inlineStr"/>
      <c r="BKS79" s="278" t="inlineStr"/>
      <c r="BKT79" s="278" t="inlineStr"/>
      <c r="BKU79" s="278" t="inlineStr"/>
      <c r="BKV79" s="278" t="inlineStr"/>
      <c r="BKW79" s="278" t="inlineStr"/>
      <c r="BKX79" s="278" t="inlineStr"/>
      <c r="BKY79" s="278" t="inlineStr"/>
      <c r="BKZ79" s="278" t="inlineStr"/>
      <c r="BLA79" s="278" t="inlineStr"/>
      <c r="BLB79" s="278" t="inlineStr"/>
      <c r="BLC79" s="278" t="inlineStr"/>
      <c r="BLD79" s="278" t="inlineStr"/>
      <c r="BLE79" s="278" t="inlineStr"/>
      <c r="BLF79" s="278" t="inlineStr"/>
      <c r="BLG79" s="278" t="inlineStr"/>
      <c r="BLH79" s="278" t="inlineStr"/>
      <c r="BLI79" s="278" t="inlineStr"/>
      <c r="BLJ79" s="278" t="inlineStr"/>
      <c r="BLK79" s="278" t="inlineStr"/>
      <c r="BLL79" s="278" t="inlineStr"/>
      <c r="BLM79" s="278" t="inlineStr"/>
      <c r="BLN79" s="278" t="inlineStr"/>
      <c r="BLO79" s="278" t="inlineStr"/>
      <c r="BLP79" s="278" t="inlineStr"/>
      <c r="BLQ79" s="278" t="inlineStr"/>
      <c r="BLR79" s="278" t="inlineStr"/>
      <c r="BLS79" s="278" t="inlineStr"/>
      <c r="BLT79" s="278" t="inlineStr"/>
      <c r="BLU79" s="278" t="inlineStr"/>
      <c r="BLV79" s="278" t="inlineStr"/>
      <c r="BLW79" s="278" t="inlineStr"/>
      <c r="BLX79" s="278" t="inlineStr"/>
      <c r="BLY79" s="278" t="inlineStr"/>
      <c r="BLZ79" s="278" t="inlineStr"/>
      <c r="BMA79" s="278" t="inlineStr"/>
      <c r="BMB79" s="278" t="inlineStr"/>
      <c r="BMC79" s="278" t="inlineStr"/>
      <c r="BMD79" s="278" t="inlineStr"/>
      <c r="BME79" s="278" t="inlineStr"/>
      <c r="BMF79" s="278" t="inlineStr"/>
      <c r="BMG79" s="278" t="inlineStr"/>
      <c r="BMH79" s="278" t="inlineStr"/>
      <c r="BMI79" s="278" t="inlineStr"/>
      <c r="BMJ79" s="278" t="inlineStr"/>
      <c r="BMK79" s="278" t="inlineStr"/>
      <c r="BML79" s="278" t="inlineStr"/>
      <c r="BMM79" s="278" t="inlineStr"/>
      <c r="BMN79" s="278" t="inlineStr"/>
      <c r="BMO79" s="278" t="inlineStr"/>
      <c r="BMP79" s="278" t="inlineStr"/>
      <c r="BMQ79" s="278" t="inlineStr"/>
      <c r="BMR79" s="278" t="inlineStr"/>
      <c r="BMS79" s="278" t="inlineStr"/>
      <c r="BMT79" s="278" t="inlineStr"/>
      <c r="BMU79" s="278" t="inlineStr"/>
      <c r="BMV79" s="278" t="inlineStr"/>
      <c r="BMW79" s="278" t="inlineStr"/>
      <c r="BMX79" s="278" t="inlineStr"/>
      <c r="BMY79" s="278" t="inlineStr"/>
      <c r="BMZ79" s="278" t="inlineStr"/>
      <c r="BNA79" s="278" t="inlineStr"/>
      <c r="BNB79" s="278" t="inlineStr"/>
      <c r="BNC79" s="278" t="inlineStr"/>
      <c r="BND79" s="278" t="inlineStr"/>
      <c r="BNE79" s="278" t="inlineStr"/>
      <c r="BNF79" s="278" t="inlineStr"/>
      <c r="BNG79" s="278" t="inlineStr"/>
      <c r="BNH79" s="278" t="inlineStr"/>
      <c r="BNI79" s="278" t="inlineStr"/>
      <c r="BNJ79" s="278" t="inlineStr"/>
      <c r="BNK79" s="278" t="inlineStr"/>
      <c r="BNL79" s="278" t="inlineStr"/>
      <c r="BNM79" s="278" t="inlineStr"/>
      <c r="BNN79" s="278" t="inlineStr"/>
      <c r="BNO79" s="278" t="inlineStr"/>
      <c r="BNP79" s="278" t="inlineStr"/>
      <c r="BNQ79" s="278" t="inlineStr"/>
      <c r="BNR79" s="278" t="inlineStr"/>
      <c r="BNS79" s="278" t="inlineStr"/>
      <c r="BNT79" s="278" t="inlineStr"/>
      <c r="BNU79" s="278" t="inlineStr"/>
      <c r="BNV79" s="278" t="inlineStr"/>
      <c r="BNW79" s="278" t="inlineStr"/>
      <c r="BNX79" s="278" t="inlineStr"/>
      <c r="BNY79" s="278" t="inlineStr"/>
      <c r="BNZ79" s="278" t="inlineStr"/>
      <c r="BOA79" s="278" t="inlineStr"/>
      <c r="BOB79" s="278" t="inlineStr"/>
      <c r="BOC79" s="278" t="inlineStr"/>
      <c r="BOD79" s="278" t="inlineStr"/>
      <c r="BOE79" s="278" t="inlineStr"/>
      <c r="BOF79" s="278" t="inlineStr"/>
      <c r="BOG79" s="278" t="inlineStr"/>
      <c r="BOH79" s="278" t="inlineStr"/>
      <c r="BOI79" s="278" t="inlineStr"/>
      <c r="BOJ79" s="278" t="inlineStr"/>
      <c r="BOK79" s="278" t="inlineStr"/>
      <c r="BOL79" s="278" t="inlineStr"/>
      <c r="BOM79" s="278" t="inlineStr"/>
      <c r="BON79" s="278" t="inlineStr"/>
      <c r="BOO79" s="278" t="inlineStr"/>
      <c r="BOP79" s="278" t="inlineStr"/>
      <c r="BOQ79" s="278" t="inlineStr"/>
      <c r="BOR79" s="278" t="inlineStr"/>
      <c r="BOS79" s="278" t="inlineStr"/>
      <c r="BOT79" s="278" t="inlineStr"/>
      <c r="BOU79" s="278" t="inlineStr"/>
      <c r="BOV79" s="278" t="inlineStr"/>
      <c r="BOW79" s="278" t="inlineStr"/>
      <c r="BOX79" s="278" t="inlineStr"/>
      <c r="BOY79" s="278" t="inlineStr"/>
      <c r="BOZ79" s="278" t="inlineStr"/>
      <c r="BPA79" s="278" t="inlineStr"/>
      <c r="BPB79" s="278" t="inlineStr"/>
      <c r="BPC79" s="278" t="inlineStr"/>
      <c r="BPD79" s="278" t="inlineStr"/>
      <c r="BPE79" s="278" t="inlineStr"/>
      <c r="BPF79" s="278" t="inlineStr"/>
      <c r="BPG79" s="278" t="inlineStr"/>
      <c r="BPH79" s="278" t="inlineStr"/>
      <c r="BPI79" s="278" t="inlineStr"/>
      <c r="BPJ79" s="278" t="inlineStr"/>
      <c r="BPK79" s="278" t="inlineStr"/>
      <c r="BPL79" s="278" t="inlineStr"/>
      <c r="BPM79" s="278" t="inlineStr"/>
      <c r="BPN79" s="278" t="inlineStr"/>
      <c r="BPO79" s="278" t="inlineStr"/>
      <c r="BPP79" s="278" t="inlineStr"/>
      <c r="BPQ79" s="278" t="inlineStr"/>
      <c r="BPR79" s="278" t="inlineStr"/>
      <c r="BPS79" s="278" t="inlineStr"/>
      <c r="BPT79" s="278" t="inlineStr"/>
      <c r="BPU79" s="278" t="inlineStr"/>
      <c r="BPV79" s="278" t="inlineStr"/>
      <c r="BPW79" s="278" t="inlineStr"/>
      <c r="BPX79" s="278" t="inlineStr"/>
      <c r="BPY79" s="278" t="inlineStr"/>
      <c r="BPZ79" s="278" t="inlineStr"/>
      <c r="BQA79" s="278" t="inlineStr"/>
      <c r="BQB79" s="278" t="inlineStr"/>
      <c r="BQC79" s="278" t="inlineStr"/>
      <c r="BQD79" s="278" t="inlineStr"/>
      <c r="BQE79" s="278" t="inlineStr"/>
      <c r="BQF79" s="278" t="inlineStr"/>
      <c r="BQG79" s="278" t="inlineStr"/>
      <c r="BQH79" s="278" t="inlineStr"/>
      <c r="BQI79" s="278" t="inlineStr"/>
      <c r="BQJ79" s="278" t="inlineStr"/>
      <c r="BQK79" s="278" t="inlineStr"/>
      <c r="BQL79" s="278" t="inlineStr"/>
      <c r="BQM79" s="278" t="inlineStr"/>
      <c r="BQN79" s="278" t="inlineStr"/>
      <c r="BQO79" s="278" t="inlineStr"/>
      <c r="BQP79" s="278" t="inlineStr"/>
      <c r="BQQ79" s="278" t="inlineStr"/>
      <c r="BQR79" s="278" t="inlineStr"/>
      <c r="BQS79" s="278" t="inlineStr"/>
      <c r="BQT79" s="278" t="inlineStr"/>
      <c r="BQU79" s="278" t="inlineStr"/>
      <c r="BQV79" s="278" t="inlineStr"/>
      <c r="BQW79" s="278" t="inlineStr"/>
      <c r="BQX79" s="278" t="inlineStr"/>
      <c r="BQY79" s="278" t="inlineStr"/>
      <c r="BQZ79" s="278" t="inlineStr"/>
      <c r="BRA79" s="278" t="inlineStr"/>
      <c r="BRB79" s="278" t="inlineStr"/>
      <c r="BRC79" s="278" t="inlineStr"/>
      <c r="BRD79" s="278" t="inlineStr"/>
      <c r="BRE79" s="278" t="inlineStr"/>
      <c r="BRF79" s="278" t="inlineStr"/>
      <c r="BRG79" s="278" t="inlineStr"/>
      <c r="BRH79" s="278" t="inlineStr"/>
      <c r="BRI79" s="278" t="inlineStr"/>
      <c r="BRJ79" s="278" t="inlineStr"/>
      <c r="BRK79" s="278" t="inlineStr"/>
      <c r="BRL79" s="278" t="inlineStr"/>
      <c r="BRM79" s="278" t="inlineStr"/>
      <c r="BRN79" s="278" t="inlineStr"/>
      <c r="BRO79" s="278" t="inlineStr"/>
      <c r="BRP79" s="278" t="inlineStr"/>
      <c r="BRQ79" s="278" t="inlineStr"/>
      <c r="BRR79" s="278" t="inlineStr"/>
      <c r="BRS79" s="278" t="inlineStr"/>
      <c r="BRT79" s="278" t="inlineStr"/>
      <c r="BRU79" s="278" t="inlineStr"/>
      <c r="BRV79" s="278" t="inlineStr"/>
      <c r="BRW79" s="278" t="inlineStr"/>
      <c r="BRX79" s="278" t="inlineStr"/>
      <c r="BRY79" s="278" t="inlineStr"/>
      <c r="BRZ79" s="278" t="inlineStr"/>
      <c r="BSA79" s="278" t="inlineStr"/>
      <c r="BSB79" s="278" t="inlineStr"/>
      <c r="BSC79" s="278" t="inlineStr"/>
      <c r="BSD79" s="278" t="inlineStr"/>
      <c r="BSE79" s="278" t="inlineStr"/>
      <c r="BSF79" s="278" t="inlineStr"/>
      <c r="BSG79" s="278" t="inlineStr"/>
      <c r="BSH79" s="278" t="inlineStr"/>
      <c r="BSI79" s="278" t="inlineStr"/>
      <c r="BSJ79" s="278" t="inlineStr"/>
      <c r="BSK79" s="278" t="inlineStr"/>
      <c r="BSL79" s="278" t="inlineStr"/>
      <c r="BSM79" s="278" t="inlineStr"/>
      <c r="BSN79" s="278" t="inlineStr"/>
      <c r="BSO79" s="278" t="inlineStr"/>
      <c r="BSP79" s="278" t="inlineStr"/>
      <c r="BSQ79" s="278" t="inlineStr"/>
      <c r="BSR79" s="278" t="inlineStr"/>
      <c r="BSS79" s="278" t="inlineStr"/>
      <c r="BST79" s="278" t="inlineStr"/>
      <c r="BSU79" s="278" t="inlineStr"/>
      <c r="BSV79" s="278" t="inlineStr"/>
      <c r="BSW79" s="278" t="inlineStr"/>
      <c r="BSX79" s="278" t="inlineStr"/>
      <c r="BSY79" s="278" t="inlineStr"/>
      <c r="BSZ79" s="278" t="inlineStr"/>
      <c r="BTA79" s="278" t="inlineStr"/>
      <c r="BTB79" s="278" t="inlineStr"/>
      <c r="BTC79" s="278" t="inlineStr"/>
      <c r="BTD79" s="278" t="inlineStr"/>
      <c r="BTE79" s="278" t="inlineStr"/>
      <c r="BTF79" s="278" t="inlineStr"/>
      <c r="BTG79" s="278" t="inlineStr"/>
      <c r="BTH79" s="278" t="inlineStr"/>
      <c r="BTI79" s="278" t="inlineStr"/>
      <c r="BTJ79" s="278" t="inlineStr"/>
      <c r="BTK79" s="278" t="inlineStr"/>
      <c r="BTL79" s="278" t="inlineStr"/>
      <c r="BTM79" s="278" t="inlineStr"/>
      <c r="BTN79" s="278" t="inlineStr"/>
      <c r="BTO79" s="278" t="inlineStr"/>
      <c r="BTP79" s="278" t="inlineStr"/>
      <c r="BTQ79" s="278" t="inlineStr"/>
      <c r="BTR79" s="278" t="inlineStr"/>
      <c r="BTS79" s="278" t="inlineStr"/>
      <c r="BTT79" s="278" t="inlineStr"/>
      <c r="BTU79" s="278" t="inlineStr"/>
      <c r="BTV79" s="278" t="inlineStr"/>
      <c r="BTW79" s="278" t="inlineStr"/>
      <c r="BTX79" s="278" t="inlineStr"/>
      <c r="BTY79" s="278" t="inlineStr"/>
      <c r="BTZ79" s="278" t="inlineStr"/>
      <c r="BUA79" s="278" t="inlineStr"/>
      <c r="BUB79" s="278" t="inlineStr"/>
      <c r="BUC79" s="278" t="inlineStr"/>
      <c r="BUD79" s="278" t="inlineStr"/>
      <c r="BUE79" s="278" t="inlineStr"/>
      <c r="BUF79" s="278" t="inlineStr"/>
      <c r="BUG79" s="278" t="inlineStr"/>
      <c r="BUH79" s="278" t="inlineStr"/>
      <c r="BUI79" s="278" t="inlineStr"/>
      <c r="BUJ79" s="278" t="inlineStr"/>
      <c r="BUK79" s="278" t="inlineStr"/>
      <c r="BUL79" s="278" t="inlineStr"/>
      <c r="BUM79" s="278" t="inlineStr"/>
      <c r="BUN79" s="278" t="inlineStr"/>
      <c r="BUO79" s="278" t="inlineStr"/>
      <c r="BUP79" s="278" t="inlineStr"/>
      <c r="BUQ79" s="278" t="inlineStr"/>
      <c r="BUR79" s="278" t="inlineStr"/>
      <c r="BUS79" s="278" t="inlineStr"/>
      <c r="BUT79" s="278" t="inlineStr"/>
      <c r="BUU79" s="278" t="inlineStr"/>
      <c r="BUV79" s="278" t="inlineStr"/>
      <c r="BUW79" s="278" t="inlineStr"/>
      <c r="BUX79" s="278" t="inlineStr"/>
      <c r="BUY79" s="278" t="inlineStr"/>
      <c r="BUZ79" s="278" t="inlineStr"/>
      <c r="BVA79" s="278" t="inlineStr"/>
      <c r="BVB79" s="278" t="inlineStr"/>
      <c r="BVC79" s="278" t="inlineStr"/>
      <c r="BVD79" s="278" t="inlineStr"/>
      <c r="BVE79" s="278" t="inlineStr"/>
      <c r="BVF79" s="278" t="inlineStr"/>
      <c r="BVG79" s="278" t="inlineStr"/>
      <c r="BVH79" s="278" t="inlineStr"/>
      <c r="BVI79" s="278" t="inlineStr"/>
      <c r="BVJ79" s="278" t="inlineStr"/>
      <c r="BVK79" s="278" t="inlineStr"/>
      <c r="BVL79" s="278" t="inlineStr"/>
      <c r="BVM79" s="278" t="inlineStr"/>
      <c r="BVN79" s="278" t="inlineStr"/>
      <c r="BVO79" s="278" t="inlineStr"/>
      <c r="BVP79" s="278" t="inlineStr"/>
      <c r="BVQ79" s="278" t="inlineStr"/>
      <c r="BVR79" s="278" t="inlineStr"/>
      <c r="BVS79" s="278" t="inlineStr"/>
      <c r="BVT79" s="278" t="inlineStr"/>
      <c r="BVU79" s="278" t="inlineStr"/>
      <c r="BVV79" s="278" t="inlineStr"/>
      <c r="BVW79" s="278" t="inlineStr"/>
      <c r="BVX79" s="278" t="inlineStr"/>
      <c r="BVY79" s="278" t="inlineStr"/>
      <c r="BVZ79" s="278" t="inlineStr"/>
      <c r="BWA79" s="278" t="inlineStr"/>
      <c r="BWB79" s="278" t="inlineStr"/>
      <c r="BWC79" s="278" t="inlineStr"/>
      <c r="BWD79" s="278" t="inlineStr"/>
      <c r="BWE79" s="278" t="inlineStr"/>
      <c r="BWF79" s="278" t="inlineStr"/>
      <c r="BWG79" s="278" t="inlineStr"/>
      <c r="BWH79" s="278" t="inlineStr"/>
      <c r="BWI79" s="278" t="inlineStr"/>
      <c r="BWJ79" s="278" t="inlineStr"/>
      <c r="BWK79" s="278" t="inlineStr"/>
      <c r="BWL79" s="278" t="inlineStr"/>
      <c r="BWM79" s="278" t="inlineStr"/>
      <c r="BWN79" s="278" t="inlineStr"/>
      <c r="BWO79" s="278" t="inlineStr"/>
      <c r="BWP79" s="278" t="inlineStr"/>
      <c r="BWQ79" s="278" t="inlineStr"/>
      <c r="BWR79" s="278" t="inlineStr"/>
      <c r="BWS79" s="278" t="inlineStr"/>
      <c r="BWT79" s="278" t="inlineStr"/>
      <c r="BWU79" s="278" t="inlineStr"/>
      <c r="BWV79" s="278" t="inlineStr"/>
      <c r="BWW79" s="278" t="inlineStr"/>
      <c r="BWX79" s="278" t="inlineStr"/>
      <c r="BWY79" s="278" t="inlineStr"/>
      <c r="BWZ79" s="278" t="inlineStr"/>
      <c r="BXA79" s="278" t="inlineStr"/>
      <c r="BXB79" s="278" t="inlineStr"/>
      <c r="BXC79" s="278" t="inlineStr"/>
      <c r="BXD79" s="278" t="inlineStr"/>
      <c r="BXE79" s="278" t="inlineStr"/>
      <c r="BXF79" s="278" t="inlineStr"/>
      <c r="BXG79" s="278" t="inlineStr"/>
      <c r="BXH79" s="278" t="inlineStr"/>
      <c r="BXI79" s="278" t="inlineStr"/>
      <c r="BXJ79" s="278" t="inlineStr"/>
      <c r="BXK79" s="278" t="inlineStr"/>
      <c r="BXL79" s="278" t="inlineStr"/>
      <c r="BXM79" s="278" t="inlineStr"/>
      <c r="BXN79" s="278" t="inlineStr"/>
      <c r="BXO79" s="278" t="inlineStr"/>
      <c r="BXP79" s="278" t="inlineStr"/>
      <c r="BXQ79" s="278" t="inlineStr"/>
      <c r="BXR79" s="278" t="inlineStr"/>
      <c r="BXS79" s="278" t="inlineStr"/>
      <c r="BXT79" s="278" t="inlineStr"/>
      <c r="BXU79" s="278" t="inlineStr"/>
      <c r="BXV79" s="278" t="inlineStr"/>
      <c r="BXW79" s="278" t="inlineStr"/>
      <c r="BXX79" s="278" t="inlineStr"/>
      <c r="BXY79" s="278" t="inlineStr"/>
      <c r="BXZ79" s="278" t="inlineStr"/>
      <c r="BYA79" s="278" t="inlineStr"/>
      <c r="BYB79" s="278" t="inlineStr"/>
      <c r="BYC79" s="278" t="inlineStr"/>
      <c r="BYD79" s="278" t="inlineStr"/>
      <c r="BYE79" s="278" t="inlineStr"/>
      <c r="BYF79" s="278" t="inlineStr"/>
      <c r="BYG79" s="278" t="inlineStr"/>
      <c r="BYH79" s="278" t="inlineStr"/>
      <c r="BYI79" s="278" t="inlineStr"/>
      <c r="BYJ79" s="278" t="inlineStr"/>
      <c r="BYK79" s="278" t="inlineStr"/>
      <c r="BYL79" s="278" t="inlineStr"/>
      <c r="BYM79" s="278" t="inlineStr"/>
      <c r="BYN79" s="278" t="inlineStr"/>
      <c r="BYO79" s="278" t="inlineStr"/>
      <c r="BYP79" s="278" t="inlineStr"/>
      <c r="BYQ79" s="278" t="inlineStr"/>
      <c r="BYR79" s="278" t="inlineStr"/>
      <c r="BYS79" s="278" t="inlineStr"/>
      <c r="BYT79" s="278" t="inlineStr"/>
      <c r="BYU79" s="278" t="inlineStr"/>
      <c r="BYV79" s="278" t="inlineStr"/>
      <c r="BYW79" s="278" t="inlineStr"/>
      <c r="BYX79" s="278" t="inlineStr"/>
      <c r="BYY79" s="278" t="inlineStr"/>
      <c r="BYZ79" s="278" t="inlineStr"/>
      <c r="BZA79" s="278" t="inlineStr"/>
      <c r="BZB79" s="278" t="inlineStr"/>
      <c r="BZC79" s="278" t="inlineStr"/>
      <c r="BZD79" s="278" t="inlineStr"/>
      <c r="BZE79" s="278" t="inlineStr"/>
      <c r="BZF79" s="278" t="inlineStr"/>
      <c r="BZG79" s="278" t="inlineStr"/>
      <c r="BZH79" s="278" t="inlineStr"/>
      <c r="BZI79" s="278" t="inlineStr"/>
      <c r="BZJ79" s="278" t="inlineStr"/>
      <c r="BZK79" s="278" t="inlineStr"/>
      <c r="BZL79" s="278" t="inlineStr"/>
      <c r="BZM79" s="278" t="inlineStr"/>
      <c r="BZN79" s="278" t="inlineStr"/>
      <c r="BZO79" s="278" t="inlineStr"/>
      <c r="BZP79" s="278" t="inlineStr"/>
      <c r="BZQ79" s="278" t="inlineStr"/>
      <c r="BZR79" s="278" t="inlineStr"/>
      <c r="BZS79" s="278" t="inlineStr"/>
      <c r="BZT79" s="278" t="inlineStr"/>
      <c r="BZU79" s="278" t="inlineStr"/>
      <c r="BZV79" s="278" t="inlineStr"/>
      <c r="BZW79" s="278" t="inlineStr"/>
      <c r="BZX79" s="278" t="inlineStr"/>
      <c r="BZY79" s="278" t="inlineStr"/>
      <c r="BZZ79" s="278" t="inlineStr"/>
      <c r="CAA79" s="278" t="inlineStr"/>
      <c r="CAB79" s="278" t="inlineStr"/>
      <c r="CAC79" s="278" t="inlineStr"/>
      <c r="CAD79" s="278" t="inlineStr"/>
      <c r="CAE79" s="278" t="inlineStr"/>
      <c r="CAF79" s="278" t="inlineStr"/>
      <c r="CAG79" s="278" t="inlineStr"/>
      <c r="CAH79" s="278" t="inlineStr"/>
      <c r="CAI79" s="278" t="inlineStr"/>
      <c r="CAJ79" s="278" t="inlineStr"/>
      <c r="CAK79" s="278" t="inlineStr"/>
      <c r="CAL79" s="278" t="inlineStr"/>
      <c r="CAM79" s="278" t="inlineStr"/>
      <c r="CAN79" s="278" t="inlineStr"/>
      <c r="CAO79" s="278" t="inlineStr"/>
      <c r="CAP79" s="278" t="inlineStr"/>
      <c r="CAQ79" s="278" t="inlineStr"/>
      <c r="CAR79" s="278" t="inlineStr"/>
      <c r="CAS79" s="278" t="inlineStr"/>
      <c r="CAT79" s="278" t="inlineStr"/>
      <c r="CAU79" s="278" t="inlineStr"/>
      <c r="CAV79" s="278" t="inlineStr"/>
      <c r="CAW79" s="278" t="inlineStr"/>
      <c r="CAX79" s="278" t="inlineStr"/>
      <c r="CAY79" s="278" t="inlineStr"/>
      <c r="CAZ79" s="278" t="inlineStr"/>
      <c r="CBA79" s="278" t="inlineStr"/>
      <c r="CBB79" s="278" t="inlineStr"/>
      <c r="CBC79" s="278" t="inlineStr"/>
      <c r="CBD79" s="278" t="inlineStr"/>
      <c r="CBE79" s="278" t="inlineStr"/>
      <c r="CBF79" s="278" t="inlineStr"/>
      <c r="CBG79" s="278" t="inlineStr"/>
      <c r="CBH79" s="278" t="inlineStr"/>
      <c r="CBI79" s="278" t="inlineStr"/>
      <c r="CBJ79" s="278" t="inlineStr"/>
      <c r="CBK79" s="278" t="inlineStr"/>
      <c r="CBL79" s="278" t="inlineStr"/>
      <c r="CBM79" s="278" t="inlineStr"/>
      <c r="CBN79" s="278" t="inlineStr"/>
      <c r="CBO79" s="278" t="inlineStr"/>
      <c r="CBP79" s="278" t="inlineStr"/>
      <c r="CBQ79" s="278" t="inlineStr"/>
      <c r="CBR79" s="278" t="inlineStr"/>
      <c r="CBS79" s="278" t="inlineStr"/>
      <c r="CBT79" s="278" t="inlineStr"/>
      <c r="CBU79" s="278" t="inlineStr"/>
      <c r="CBV79" s="278" t="inlineStr"/>
      <c r="CBW79" s="278" t="inlineStr"/>
      <c r="CBX79" s="278" t="inlineStr"/>
      <c r="CBY79" s="278" t="inlineStr"/>
      <c r="CBZ79" s="278" t="inlineStr"/>
      <c r="CCA79" s="278" t="inlineStr"/>
      <c r="CCB79" s="278" t="inlineStr"/>
      <c r="CCC79" s="278" t="inlineStr"/>
      <c r="CCD79" s="278" t="inlineStr"/>
      <c r="CCE79" s="278" t="inlineStr"/>
      <c r="CCF79" s="278" t="inlineStr"/>
      <c r="CCG79" s="278" t="inlineStr"/>
      <c r="CCH79" s="278" t="inlineStr"/>
      <c r="CCI79" s="278" t="inlineStr"/>
      <c r="CCJ79" s="278" t="inlineStr"/>
      <c r="CCK79" s="278" t="inlineStr"/>
      <c r="CCL79" s="278" t="inlineStr"/>
      <c r="CCM79" s="278" t="inlineStr"/>
      <c r="CCN79" s="278" t="inlineStr"/>
      <c r="CCO79" s="278" t="inlineStr"/>
      <c r="CCP79" s="278" t="inlineStr"/>
      <c r="CCQ79" s="278" t="inlineStr"/>
      <c r="CCR79" s="278" t="inlineStr"/>
      <c r="CCS79" s="278" t="inlineStr"/>
      <c r="CCT79" s="278" t="inlineStr"/>
      <c r="CCU79" s="278" t="inlineStr"/>
      <c r="CCV79" s="278" t="inlineStr"/>
      <c r="CCW79" s="278" t="inlineStr"/>
      <c r="CCX79" s="278" t="inlineStr"/>
      <c r="CCY79" s="278" t="inlineStr"/>
      <c r="CCZ79" s="278" t="inlineStr"/>
      <c r="CDA79" s="278" t="inlineStr"/>
      <c r="CDB79" s="278" t="inlineStr"/>
      <c r="CDC79" s="278" t="inlineStr"/>
      <c r="CDD79" s="278" t="inlineStr"/>
      <c r="CDE79" s="278" t="inlineStr"/>
      <c r="CDF79" s="278" t="inlineStr"/>
      <c r="CDG79" s="278" t="inlineStr"/>
      <c r="CDH79" s="278" t="inlineStr"/>
      <c r="CDI79" s="278" t="inlineStr"/>
      <c r="CDJ79" s="278" t="inlineStr"/>
      <c r="CDK79" s="278" t="inlineStr"/>
      <c r="CDL79" s="278" t="inlineStr"/>
      <c r="CDM79" s="278" t="inlineStr"/>
      <c r="CDN79" s="278" t="inlineStr"/>
      <c r="CDO79" s="278" t="inlineStr"/>
      <c r="CDP79" s="278" t="inlineStr"/>
      <c r="CDQ79" s="278" t="inlineStr"/>
      <c r="CDR79" s="278" t="inlineStr"/>
      <c r="CDS79" s="278" t="inlineStr"/>
      <c r="CDT79" s="278" t="inlineStr"/>
      <c r="CDU79" s="278" t="inlineStr"/>
      <c r="CDV79" s="278" t="inlineStr"/>
      <c r="CDW79" s="278" t="inlineStr"/>
      <c r="CDX79" s="278" t="inlineStr"/>
      <c r="CDY79" s="278" t="inlineStr"/>
      <c r="CDZ79" s="278" t="inlineStr"/>
      <c r="CEA79" s="278" t="inlineStr"/>
      <c r="CEB79" s="278" t="inlineStr"/>
      <c r="CEC79" s="278" t="inlineStr"/>
      <c r="CED79" s="278" t="inlineStr"/>
      <c r="CEE79" s="278" t="inlineStr"/>
      <c r="CEF79" s="278" t="inlineStr"/>
      <c r="CEG79" s="278" t="inlineStr"/>
      <c r="CEH79" s="278" t="inlineStr"/>
      <c r="CEI79" s="278" t="inlineStr"/>
      <c r="CEJ79" s="278" t="inlineStr"/>
      <c r="CEK79" s="278" t="inlineStr"/>
      <c r="CEL79" s="278" t="inlineStr"/>
      <c r="CEM79" s="278" t="inlineStr"/>
      <c r="CEN79" s="278" t="inlineStr"/>
      <c r="CEO79" s="278" t="inlineStr"/>
      <c r="CEP79" s="278" t="inlineStr"/>
      <c r="CEQ79" s="278" t="inlineStr"/>
      <c r="CER79" s="278" t="inlineStr"/>
      <c r="CES79" s="278" t="inlineStr"/>
      <c r="CET79" s="278" t="inlineStr"/>
      <c r="CEU79" s="278" t="inlineStr"/>
      <c r="CEV79" s="278" t="inlineStr"/>
      <c r="CEW79" s="278" t="inlineStr"/>
      <c r="CEX79" s="278" t="inlineStr"/>
      <c r="CEY79" s="278" t="inlineStr"/>
      <c r="CEZ79" s="278" t="inlineStr"/>
      <c r="CFA79" s="278" t="inlineStr"/>
      <c r="CFB79" s="278" t="inlineStr"/>
      <c r="CFC79" s="278" t="inlineStr"/>
      <c r="CFD79" s="278" t="inlineStr"/>
      <c r="CFE79" s="278" t="inlineStr"/>
      <c r="CFF79" s="278" t="inlineStr"/>
      <c r="CFG79" s="278" t="inlineStr"/>
      <c r="CFH79" s="278" t="inlineStr"/>
      <c r="CFI79" s="278" t="inlineStr"/>
      <c r="CFJ79" s="278" t="inlineStr"/>
      <c r="CFK79" s="278" t="inlineStr"/>
      <c r="CFL79" s="278" t="inlineStr"/>
      <c r="CFM79" s="278" t="inlineStr"/>
      <c r="CFN79" s="278" t="inlineStr"/>
      <c r="CFO79" s="278" t="inlineStr"/>
      <c r="CFP79" s="278" t="inlineStr"/>
      <c r="CFQ79" s="278" t="inlineStr"/>
      <c r="CFR79" s="278" t="inlineStr"/>
      <c r="CFS79" s="278" t="inlineStr"/>
      <c r="CFT79" s="278" t="inlineStr"/>
      <c r="CFU79" s="278" t="inlineStr"/>
      <c r="CFV79" s="278" t="inlineStr"/>
      <c r="CFW79" s="278" t="inlineStr"/>
      <c r="CFX79" s="278" t="inlineStr"/>
      <c r="CFY79" s="278" t="inlineStr"/>
      <c r="CFZ79" s="278" t="inlineStr"/>
      <c r="CGA79" s="278" t="inlineStr"/>
      <c r="CGB79" s="278" t="inlineStr"/>
      <c r="CGC79" s="278" t="inlineStr"/>
      <c r="CGD79" s="278" t="inlineStr"/>
      <c r="CGE79" s="278" t="inlineStr"/>
      <c r="CGF79" s="278" t="inlineStr"/>
      <c r="CGG79" s="278" t="inlineStr"/>
      <c r="CGH79" s="278" t="inlineStr"/>
      <c r="CGI79" s="278" t="inlineStr"/>
      <c r="CGJ79" s="278" t="inlineStr"/>
      <c r="CGK79" s="278" t="inlineStr"/>
      <c r="CGL79" s="278" t="inlineStr"/>
      <c r="CGM79" s="278" t="inlineStr"/>
      <c r="CGN79" s="278" t="inlineStr"/>
      <c r="CGO79" s="278" t="inlineStr"/>
      <c r="CGP79" s="278" t="inlineStr"/>
      <c r="CGQ79" s="278" t="inlineStr"/>
      <c r="CGR79" s="278" t="inlineStr"/>
      <c r="CGS79" s="278" t="inlineStr"/>
      <c r="CGT79" s="278" t="inlineStr"/>
      <c r="CGU79" s="278" t="inlineStr"/>
      <c r="CGV79" s="278" t="inlineStr"/>
      <c r="CGW79" s="278" t="inlineStr"/>
      <c r="CGX79" s="278" t="inlineStr"/>
      <c r="CGY79" s="278" t="inlineStr"/>
      <c r="CGZ79" s="278" t="inlineStr"/>
      <c r="CHA79" s="278" t="inlineStr"/>
      <c r="CHB79" s="278" t="inlineStr"/>
      <c r="CHC79" s="278" t="inlineStr"/>
      <c r="CHD79" s="278" t="inlineStr"/>
      <c r="CHE79" s="278" t="inlineStr"/>
      <c r="CHF79" s="278" t="inlineStr"/>
      <c r="CHG79" s="278" t="inlineStr"/>
      <c r="CHH79" s="278" t="inlineStr"/>
      <c r="CHI79" s="278" t="inlineStr"/>
      <c r="CHJ79" s="278" t="inlineStr"/>
      <c r="CHK79" s="278" t="inlineStr"/>
      <c r="CHL79" s="278" t="inlineStr"/>
      <c r="CHM79" s="278" t="inlineStr"/>
      <c r="CHN79" s="278" t="inlineStr"/>
      <c r="CHO79" s="278" t="inlineStr"/>
      <c r="CHP79" s="278" t="inlineStr"/>
      <c r="CHQ79" s="278" t="inlineStr"/>
      <c r="CHR79" s="278" t="inlineStr"/>
      <c r="CHS79" s="278" t="inlineStr"/>
      <c r="CHT79" s="278" t="inlineStr"/>
      <c r="CHU79" s="278" t="inlineStr"/>
      <c r="CHV79" s="278" t="inlineStr"/>
      <c r="CHW79" s="278" t="inlineStr"/>
      <c r="CHX79" s="278" t="inlineStr"/>
      <c r="CHY79" s="278" t="inlineStr"/>
      <c r="CHZ79" s="278" t="inlineStr"/>
      <c r="CIA79" s="278" t="inlineStr"/>
      <c r="CIB79" s="278" t="inlineStr"/>
      <c r="CIC79" s="278" t="inlineStr"/>
      <c r="CID79" s="278" t="inlineStr"/>
      <c r="CIE79" s="278" t="inlineStr"/>
      <c r="CIF79" s="278" t="inlineStr"/>
      <c r="CIG79" s="278" t="inlineStr"/>
      <c r="CIH79" s="278" t="inlineStr"/>
      <c r="CII79" s="278" t="inlineStr"/>
      <c r="CIJ79" s="278" t="inlineStr"/>
      <c r="CIK79" s="278" t="inlineStr"/>
      <c r="CIL79" s="278" t="inlineStr"/>
      <c r="CIM79" s="278" t="inlineStr"/>
      <c r="CIN79" s="278" t="inlineStr"/>
      <c r="CIO79" s="278" t="inlineStr"/>
      <c r="CIP79" s="278" t="inlineStr"/>
      <c r="CIQ79" s="278" t="inlineStr"/>
      <c r="CIR79" s="278" t="inlineStr"/>
      <c r="CIS79" s="278" t="inlineStr"/>
      <c r="CIT79" s="278" t="inlineStr"/>
      <c r="CIU79" s="278" t="inlineStr"/>
      <c r="CIV79" s="278" t="inlineStr"/>
      <c r="CIW79" s="278" t="inlineStr"/>
      <c r="CIX79" s="278" t="inlineStr"/>
      <c r="CIY79" s="278" t="inlineStr"/>
      <c r="CIZ79" s="278" t="inlineStr"/>
      <c r="CJA79" s="278" t="inlineStr"/>
      <c r="CJB79" s="278" t="inlineStr"/>
      <c r="CJC79" s="278" t="inlineStr"/>
      <c r="CJD79" s="278" t="inlineStr"/>
      <c r="CJE79" s="278" t="inlineStr"/>
      <c r="CJF79" s="278" t="inlineStr"/>
      <c r="CJG79" s="278" t="inlineStr"/>
      <c r="CJH79" s="278" t="inlineStr"/>
      <c r="CJI79" s="278" t="inlineStr"/>
      <c r="CJJ79" s="278" t="inlineStr"/>
      <c r="CJK79" s="278" t="inlineStr"/>
      <c r="CJL79" s="278" t="inlineStr"/>
      <c r="CJM79" s="278" t="inlineStr"/>
      <c r="CJN79" s="278" t="inlineStr"/>
      <c r="CJO79" s="278" t="inlineStr"/>
      <c r="CJP79" s="278" t="inlineStr"/>
      <c r="CJQ79" s="278" t="inlineStr"/>
      <c r="CJR79" s="278" t="inlineStr"/>
      <c r="CJS79" s="278" t="inlineStr"/>
      <c r="CJT79" s="278" t="inlineStr"/>
      <c r="CJU79" s="278" t="inlineStr"/>
      <c r="CJV79" s="278" t="inlineStr"/>
      <c r="CJW79" s="278" t="inlineStr"/>
      <c r="CJX79" s="278" t="inlineStr"/>
      <c r="CJY79" s="278" t="inlineStr"/>
      <c r="CJZ79" s="278" t="inlineStr"/>
      <c r="CKA79" s="278" t="inlineStr"/>
      <c r="CKB79" s="278" t="inlineStr"/>
      <c r="CKC79" s="278" t="inlineStr"/>
      <c r="CKD79" s="278" t="inlineStr"/>
      <c r="CKE79" s="278" t="inlineStr"/>
      <c r="CKF79" s="278" t="inlineStr"/>
      <c r="CKG79" s="278" t="inlineStr"/>
      <c r="CKH79" s="278" t="inlineStr"/>
      <c r="CKI79" s="278" t="inlineStr"/>
      <c r="CKJ79" s="278" t="inlineStr"/>
      <c r="CKK79" s="278" t="inlineStr"/>
      <c r="CKL79" s="278" t="inlineStr"/>
      <c r="CKM79" s="278" t="inlineStr"/>
      <c r="CKN79" s="278" t="inlineStr"/>
      <c r="CKO79" s="278" t="inlineStr"/>
      <c r="CKP79" s="278" t="inlineStr"/>
      <c r="CKQ79" s="278" t="inlineStr"/>
      <c r="CKR79" s="278" t="inlineStr"/>
      <c r="CKS79" s="278" t="inlineStr"/>
      <c r="CKT79" s="278" t="inlineStr"/>
      <c r="CKU79" s="278" t="inlineStr"/>
      <c r="CKV79" s="278" t="inlineStr"/>
      <c r="CKW79" s="278" t="inlineStr"/>
      <c r="CKX79" s="278" t="inlineStr"/>
      <c r="CKY79" s="278" t="inlineStr"/>
      <c r="CKZ79" s="278" t="inlineStr"/>
      <c r="CLA79" s="278" t="inlineStr"/>
      <c r="CLB79" s="278" t="inlineStr"/>
      <c r="CLC79" s="278" t="inlineStr"/>
      <c r="CLD79" s="278" t="inlineStr"/>
      <c r="CLE79" s="278" t="inlineStr"/>
      <c r="CLF79" s="278" t="inlineStr"/>
      <c r="CLG79" s="278" t="inlineStr"/>
      <c r="CLH79" s="278" t="inlineStr"/>
      <c r="CLI79" s="278" t="inlineStr"/>
      <c r="CLJ79" s="278" t="inlineStr"/>
      <c r="CLK79" s="278" t="inlineStr"/>
      <c r="CLL79" s="278" t="inlineStr"/>
      <c r="CLM79" s="278" t="inlineStr"/>
      <c r="CLN79" s="278" t="inlineStr"/>
      <c r="CLO79" s="278" t="inlineStr"/>
      <c r="CLP79" s="278" t="inlineStr"/>
      <c r="CLQ79" s="278" t="inlineStr"/>
      <c r="CLR79" s="278" t="inlineStr"/>
      <c r="CLS79" s="278" t="inlineStr"/>
      <c r="CLT79" s="278" t="inlineStr"/>
      <c r="CLU79" s="278" t="inlineStr"/>
      <c r="CLV79" s="278" t="inlineStr"/>
      <c r="CLW79" s="278" t="inlineStr"/>
      <c r="CLX79" s="278" t="inlineStr"/>
      <c r="CLY79" s="278" t="inlineStr"/>
      <c r="CLZ79" s="278" t="inlineStr"/>
      <c r="CMA79" s="278" t="inlineStr"/>
      <c r="CMB79" s="278" t="inlineStr"/>
      <c r="CMC79" s="278" t="inlineStr"/>
      <c r="CMD79" s="278" t="inlineStr"/>
      <c r="CME79" s="278" t="inlineStr"/>
      <c r="CMF79" s="278" t="inlineStr"/>
      <c r="CMG79" s="278" t="inlineStr"/>
      <c r="CMH79" s="278" t="inlineStr"/>
      <c r="CMI79" s="278" t="inlineStr"/>
      <c r="CMJ79" s="278" t="inlineStr"/>
      <c r="CMK79" s="278" t="inlineStr"/>
      <c r="CML79" s="278" t="inlineStr"/>
      <c r="CMM79" s="278" t="inlineStr"/>
      <c r="CMN79" s="278" t="inlineStr"/>
      <c r="CMO79" s="278" t="inlineStr"/>
      <c r="CMP79" s="278" t="inlineStr"/>
      <c r="CMQ79" s="278" t="inlineStr"/>
      <c r="CMR79" s="278" t="inlineStr"/>
      <c r="CMS79" s="278" t="inlineStr"/>
      <c r="CMT79" s="278" t="inlineStr"/>
      <c r="CMU79" s="278" t="inlineStr"/>
      <c r="CMV79" s="278" t="inlineStr"/>
      <c r="CMW79" s="278" t="inlineStr"/>
      <c r="CMX79" s="278" t="inlineStr"/>
      <c r="CMY79" s="278" t="inlineStr"/>
      <c r="CMZ79" s="278" t="inlineStr"/>
      <c r="CNA79" s="278" t="inlineStr"/>
      <c r="CNB79" s="278" t="inlineStr"/>
      <c r="CNC79" s="278" t="inlineStr"/>
      <c r="CND79" s="278" t="inlineStr"/>
      <c r="CNE79" s="278" t="inlineStr"/>
      <c r="CNF79" s="278" t="inlineStr"/>
      <c r="CNG79" s="278" t="inlineStr"/>
      <c r="CNH79" s="278" t="inlineStr"/>
      <c r="CNI79" s="278" t="inlineStr"/>
      <c r="CNJ79" s="278" t="inlineStr"/>
      <c r="CNK79" s="278" t="inlineStr"/>
      <c r="CNL79" s="278" t="inlineStr"/>
      <c r="CNM79" s="278" t="inlineStr"/>
      <c r="CNN79" s="278" t="inlineStr"/>
      <c r="CNO79" s="278" t="inlineStr"/>
      <c r="CNP79" s="278" t="inlineStr"/>
      <c r="CNQ79" s="278" t="inlineStr"/>
      <c r="CNR79" s="278" t="inlineStr"/>
      <c r="CNS79" s="278" t="inlineStr"/>
      <c r="CNT79" s="278" t="inlineStr"/>
      <c r="CNU79" s="278" t="inlineStr"/>
      <c r="CNV79" s="278" t="inlineStr"/>
      <c r="CNW79" s="278" t="inlineStr"/>
      <c r="CNX79" s="278" t="inlineStr"/>
      <c r="CNY79" s="278" t="inlineStr"/>
      <c r="CNZ79" s="278" t="inlineStr"/>
      <c r="COA79" s="278" t="inlineStr"/>
      <c r="COB79" s="278" t="inlineStr"/>
      <c r="COC79" s="278" t="inlineStr"/>
      <c r="COD79" s="278" t="inlineStr"/>
      <c r="COE79" s="278" t="inlineStr"/>
      <c r="COF79" s="278" t="inlineStr"/>
      <c r="COG79" s="278" t="inlineStr"/>
      <c r="COH79" s="278" t="inlineStr"/>
      <c r="COI79" s="278" t="inlineStr"/>
      <c r="COJ79" s="278" t="inlineStr"/>
      <c r="COK79" s="278" t="inlineStr"/>
      <c r="COL79" s="278" t="inlineStr"/>
      <c r="COM79" s="278" t="inlineStr"/>
      <c r="CON79" s="278" t="inlineStr"/>
      <c r="COO79" s="278" t="inlineStr"/>
      <c r="COP79" s="278" t="inlineStr"/>
      <c r="COQ79" s="278" t="inlineStr"/>
      <c r="COR79" s="278" t="inlineStr"/>
      <c r="COS79" s="278" t="inlineStr"/>
      <c r="COT79" s="278" t="inlineStr"/>
      <c r="COU79" s="278" t="inlineStr"/>
      <c r="COV79" s="278" t="inlineStr"/>
      <c r="COW79" s="278" t="inlineStr"/>
      <c r="COX79" s="278" t="inlineStr"/>
      <c r="COY79" s="278" t="inlineStr"/>
      <c r="COZ79" s="278" t="inlineStr"/>
      <c r="CPA79" s="278" t="inlineStr"/>
      <c r="CPB79" s="278" t="inlineStr"/>
      <c r="CPC79" s="278" t="inlineStr"/>
      <c r="CPD79" s="278" t="inlineStr"/>
      <c r="CPE79" s="278" t="inlineStr"/>
      <c r="CPF79" s="278" t="inlineStr"/>
      <c r="CPG79" s="278" t="inlineStr"/>
      <c r="CPH79" s="278" t="inlineStr"/>
      <c r="CPI79" s="278" t="inlineStr"/>
      <c r="CPJ79" s="278" t="inlineStr"/>
      <c r="CPK79" s="278" t="inlineStr"/>
      <c r="CPL79" s="278" t="inlineStr"/>
      <c r="CPM79" s="278" t="inlineStr"/>
      <c r="CPN79" s="278" t="inlineStr"/>
      <c r="CPO79" s="278" t="inlineStr"/>
      <c r="CPP79" s="278" t="inlineStr"/>
      <c r="CPQ79" s="278" t="inlineStr"/>
      <c r="CPR79" s="278" t="inlineStr"/>
      <c r="CPS79" s="278" t="inlineStr"/>
      <c r="CPT79" s="278" t="inlineStr"/>
      <c r="CPU79" s="278" t="inlineStr"/>
      <c r="CPV79" s="278" t="inlineStr"/>
      <c r="CPW79" s="278" t="inlineStr"/>
      <c r="CPX79" s="278" t="inlineStr"/>
      <c r="CPY79" s="278" t="inlineStr"/>
      <c r="CPZ79" s="278" t="inlineStr"/>
      <c r="CQA79" s="278" t="inlineStr"/>
      <c r="CQB79" s="278" t="inlineStr"/>
      <c r="CQC79" s="278" t="inlineStr"/>
      <c r="CQD79" s="278" t="inlineStr"/>
      <c r="CQE79" s="278" t="inlineStr"/>
      <c r="CQF79" s="278" t="inlineStr"/>
      <c r="CQG79" s="278" t="inlineStr"/>
      <c r="CQH79" s="278" t="inlineStr"/>
      <c r="CQI79" s="278" t="inlineStr"/>
      <c r="CQJ79" s="278" t="inlineStr"/>
      <c r="CQK79" s="278" t="inlineStr"/>
      <c r="CQL79" s="278" t="inlineStr"/>
      <c r="CQM79" s="278" t="inlineStr"/>
      <c r="CQN79" s="278" t="inlineStr"/>
      <c r="CQO79" s="278" t="inlineStr"/>
      <c r="CQP79" s="278" t="inlineStr"/>
      <c r="CQQ79" s="278" t="inlineStr"/>
      <c r="CQR79" s="278" t="inlineStr"/>
      <c r="CQS79" s="278" t="inlineStr"/>
      <c r="CQT79" s="278" t="inlineStr"/>
      <c r="CQU79" s="278" t="inlineStr"/>
      <c r="CQV79" s="278" t="inlineStr"/>
      <c r="CQW79" s="278" t="inlineStr"/>
      <c r="CQX79" s="278" t="inlineStr"/>
      <c r="CQY79" s="278" t="inlineStr"/>
      <c r="CQZ79" s="278" t="inlineStr"/>
      <c r="CRA79" s="278" t="inlineStr"/>
      <c r="CRB79" s="278" t="inlineStr"/>
      <c r="CRC79" s="278" t="inlineStr"/>
      <c r="CRD79" s="278" t="inlineStr"/>
      <c r="CRE79" s="278" t="inlineStr"/>
      <c r="CRF79" s="278" t="inlineStr"/>
      <c r="CRG79" s="278" t="inlineStr"/>
      <c r="CRH79" s="278" t="inlineStr"/>
      <c r="CRI79" s="278" t="inlineStr"/>
      <c r="CRJ79" s="278" t="inlineStr"/>
      <c r="CRK79" s="278" t="inlineStr"/>
      <c r="CRL79" s="278" t="inlineStr"/>
      <c r="CRM79" s="278" t="inlineStr"/>
      <c r="CRN79" s="278" t="inlineStr"/>
      <c r="CRO79" s="278" t="inlineStr"/>
      <c r="CRP79" s="278" t="inlineStr"/>
      <c r="CRQ79" s="278" t="inlineStr"/>
      <c r="CRR79" s="278" t="inlineStr"/>
      <c r="CRS79" s="278" t="inlineStr"/>
      <c r="CRT79" s="278" t="inlineStr"/>
      <c r="CRU79" s="278" t="inlineStr"/>
      <c r="CRV79" s="278" t="inlineStr"/>
      <c r="CRW79" s="278" t="inlineStr"/>
      <c r="CRX79" s="278" t="inlineStr"/>
      <c r="CRY79" s="278" t="inlineStr"/>
      <c r="CRZ79" s="278" t="inlineStr"/>
      <c r="CSA79" s="278" t="inlineStr"/>
      <c r="CSB79" s="278" t="inlineStr"/>
      <c r="CSC79" s="278" t="inlineStr"/>
      <c r="CSD79" s="278" t="inlineStr"/>
      <c r="CSE79" s="278" t="inlineStr"/>
      <c r="CSF79" s="278" t="inlineStr"/>
      <c r="CSG79" s="278" t="inlineStr"/>
      <c r="CSH79" s="278" t="inlineStr"/>
      <c r="CSI79" s="278" t="inlineStr"/>
      <c r="CSJ79" s="278" t="inlineStr"/>
      <c r="CSK79" s="278" t="inlineStr"/>
      <c r="CSL79" s="278" t="inlineStr"/>
      <c r="CSM79" s="278" t="inlineStr"/>
      <c r="CSN79" s="278" t="inlineStr"/>
      <c r="CSO79" s="278" t="inlineStr"/>
      <c r="CSP79" s="278" t="inlineStr"/>
      <c r="CSQ79" s="278" t="inlineStr"/>
      <c r="CSR79" s="278" t="inlineStr"/>
      <c r="CSS79" s="278" t="inlineStr"/>
      <c r="CST79" s="278" t="inlineStr"/>
      <c r="CSU79" s="278" t="inlineStr"/>
      <c r="CSV79" s="278" t="inlineStr"/>
      <c r="CSW79" s="278" t="inlineStr"/>
      <c r="CSX79" s="278" t="inlineStr"/>
      <c r="CSY79" s="278" t="inlineStr"/>
      <c r="CSZ79" s="278" t="inlineStr"/>
      <c r="CTA79" s="278" t="inlineStr"/>
      <c r="CTB79" s="278" t="inlineStr"/>
      <c r="CTC79" s="278" t="inlineStr"/>
      <c r="CTD79" s="278" t="inlineStr"/>
      <c r="CTE79" s="278" t="inlineStr"/>
      <c r="CTF79" s="278" t="inlineStr"/>
      <c r="CTG79" s="278" t="inlineStr"/>
      <c r="CTH79" s="278" t="inlineStr"/>
      <c r="CTI79" s="278" t="inlineStr"/>
      <c r="CTJ79" s="278" t="inlineStr"/>
      <c r="CTK79" s="278" t="inlineStr"/>
      <c r="CTL79" s="278" t="inlineStr"/>
      <c r="CTM79" s="278" t="inlineStr"/>
      <c r="CTN79" s="278" t="inlineStr"/>
      <c r="CTO79" s="278" t="inlineStr"/>
      <c r="CTP79" s="278" t="inlineStr"/>
      <c r="CTQ79" s="278" t="inlineStr"/>
      <c r="CTR79" s="278" t="inlineStr"/>
      <c r="CTS79" s="278" t="inlineStr"/>
      <c r="CTT79" s="278" t="inlineStr"/>
      <c r="CTU79" s="278" t="inlineStr"/>
      <c r="CTV79" s="278" t="inlineStr"/>
      <c r="CTW79" s="278" t="inlineStr"/>
      <c r="CTX79" s="278" t="inlineStr"/>
      <c r="CTY79" s="278" t="inlineStr"/>
      <c r="CTZ79" s="278" t="inlineStr"/>
      <c r="CUA79" s="278" t="inlineStr"/>
      <c r="CUB79" s="278" t="inlineStr"/>
      <c r="CUC79" s="278" t="inlineStr"/>
      <c r="CUD79" s="278" t="inlineStr"/>
      <c r="CUE79" s="278" t="inlineStr"/>
      <c r="CUF79" s="278" t="inlineStr"/>
      <c r="CUG79" s="278" t="inlineStr"/>
      <c r="CUH79" s="278" t="inlineStr"/>
      <c r="CUI79" s="278" t="inlineStr"/>
      <c r="CUJ79" s="278" t="inlineStr"/>
      <c r="CUK79" s="278" t="inlineStr"/>
      <c r="CUL79" s="278" t="inlineStr"/>
      <c r="CUM79" s="278" t="inlineStr"/>
      <c r="CUN79" s="278" t="inlineStr"/>
      <c r="CUO79" s="278" t="inlineStr"/>
      <c r="CUP79" s="278" t="inlineStr"/>
      <c r="CUQ79" s="278" t="inlineStr"/>
      <c r="CUR79" s="278" t="inlineStr"/>
      <c r="CUS79" s="278" t="inlineStr"/>
      <c r="CUT79" s="278" t="inlineStr"/>
      <c r="CUU79" s="278" t="inlineStr"/>
      <c r="CUV79" s="278" t="inlineStr"/>
      <c r="CUW79" s="278" t="inlineStr"/>
      <c r="CUX79" s="278" t="inlineStr"/>
      <c r="CUY79" s="278" t="inlineStr"/>
      <c r="CUZ79" s="278" t="inlineStr"/>
      <c r="CVA79" s="278" t="inlineStr"/>
      <c r="CVB79" s="278" t="inlineStr"/>
      <c r="CVC79" s="278" t="inlineStr"/>
      <c r="CVD79" s="278" t="inlineStr"/>
      <c r="CVE79" s="278" t="inlineStr"/>
      <c r="CVF79" s="278" t="inlineStr"/>
      <c r="CVG79" s="278" t="inlineStr"/>
      <c r="CVH79" s="278" t="inlineStr"/>
      <c r="CVI79" s="278" t="inlineStr"/>
      <c r="CVJ79" s="278" t="inlineStr"/>
      <c r="CVK79" s="278" t="inlineStr"/>
      <c r="CVL79" s="278" t="inlineStr"/>
      <c r="CVM79" s="278" t="inlineStr"/>
      <c r="CVN79" s="278" t="inlineStr"/>
      <c r="CVO79" s="278" t="inlineStr"/>
      <c r="CVP79" s="278" t="inlineStr"/>
      <c r="CVQ79" s="278" t="inlineStr"/>
      <c r="CVR79" s="278" t="inlineStr"/>
      <c r="CVS79" s="278" t="inlineStr"/>
      <c r="CVT79" s="278" t="inlineStr"/>
      <c r="CVU79" s="278" t="inlineStr"/>
      <c r="CVV79" s="278" t="inlineStr"/>
      <c r="CVW79" s="278" t="inlineStr"/>
      <c r="CVX79" s="278" t="inlineStr"/>
      <c r="CVY79" s="278" t="inlineStr"/>
      <c r="CVZ79" s="278" t="inlineStr"/>
      <c r="CWA79" s="278" t="inlineStr"/>
      <c r="CWB79" s="278" t="inlineStr"/>
      <c r="CWC79" s="278" t="inlineStr"/>
      <c r="CWD79" s="278" t="inlineStr"/>
      <c r="CWE79" s="278" t="inlineStr"/>
      <c r="CWF79" s="278" t="inlineStr"/>
      <c r="CWG79" s="278" t="inlineStr"/>
      <c r="CWH79" s="278" t="inlineStr"/>
      <c r="CWI79" s="278" t="inlineStr"/>
      <c r="CWJ79" s="278" t="inlineStr"/>
      <c r="CWK79" s="278" t="inlineStr"/>
      <c r="CWL79" s="278" t="inlineStr"/>
      <c r="CWM79" s="278" t="inlineStr"/>
      <c r="CWN79" s="278" t="inlineStr"/>
      <c r="CWO79" s="278" t="inlineStr"/>
      <c r="CWP79" s="278" t="inlineStr"/>
      <c r="CWQ79" s="278" t="inlineStr"/>
      <c r="CWR79" s="278" t="inlineStr"/>
      <c r="CWS79" s="278" t="inlineStr"/>
      <c r="CWT79" s="278" t="inlineStr"/>
      <c r="CWU79" s="278" t="inlineStr"/>
      <c r="CWV79" s="278" t="inlineStr"/>
      <c r="CWW79" s="278" t="inlineStr"/>
      <c r="CWX79" s="278" t="inlineStr"/>
      <c r="CWY79" s="278" t="inlineStr"/>
      <c r="CWZ79" s="278" t="inlineStr"/>
      <c r="CXA79" s="278" t="inlineStr"/>
      <c r="CXB79" s="278" t="inlineStr"/>
      <c r="CXC79" s="278" t="inlineStr"/>
      <c r="CXD79" s="278" t="inlineStr"/>
      <c r="CXE79" s="278" t="inlineStr"/>
      <c r="CXF79" s="278" t="inlineStr"/>
      <c r="CXG79" s="278" t="inlineStr"/>
      <c r="CXH79" s="278" t="inlineStr"/>
      <c r="CXI79" s="278" t="inlineStr"/>
      <c r="CXJ79" s="278" t="inlineStr"/>
      <c r="CXK79" s="278" t="inlineStr"/>
      <c r="CXL79" s="278" t="inlineStr"/>
      <c r="CXM79" s="278" t="inlineStr"/>
      <c r="CXN79" s="278" t="inlineStr"/>
      <c r="CXO79" s="278" t="inlineStr"/>
      <c r="CXP79" s="278" t="inlineStr"/>
      <c r="CXQ79" s="278" t="inlineStr"/>
      <c r="CXR79" s="278" t="inlineStr"/>
      <c r="CXS79" s="278" t="inlineStr"/>
      <c r="CXT79" s="278" t="inlineStr"/>
      <c r="CXU79" s="278" t="inlineStr"/>
      <c r="CXV79" s="278" t="inlineStr"/>
      <c r="CXW79" s="278" t="inlineStr"/>
      <c r="CXX79" s="278" t="inlineStr"/>
      <c r="CXY79" s="278" t="inlineStr"/>
      <c r="CXZ79" s="278" t="inlineStr"/>
      <c r="CYA79" s="278" t="inlineStr"/>
      <c r="CYB79" s="278" t="inlineStr"/>
      <c r="CYC79" s="278" t="inlineStr"/>
      <c r="CYD79" s="278" t="inlineStr"/>
      <c r="CYE79" s="278" t="inlineStr"/>
      <c r="CYF79" s="278" t="inlineStr"/>
      <c r="CYG79" s="278" t="inlineStr"/>
      <c r="CYH79" s="278" t="inlineStr"/>
      <c r="CYI79" s="278" t="inlineStr"/>
      <c r="CYJ79" s="278" t="inlineStr"/>
      <c r="CYK79" s="278" t="inlineStr"/>
      <c r="CYL79" s="278" t="inlineStr"/>
      <c r="CYM79" s="278" t="inlineStr"/>
      <c r="CYN79" s="278" t="inlineStr"/>
      <c r="CYO79" s="278" t="inlineStr"/>
      <c r="CYP79" s="278" t="inlineStr"/>
      <c r="CYQ79" s="278" t="inlineStr"/>
      <c r="CYR79" s="278" t="inlineStr"/>
      <c r="CYS79" s="278" t="inlineStr"/>
      <c r="CYT79" s="278" t="inlineStr"/>
      <c r="CYU79" s="278" t="inlineStr"/>
      <c r="CYV79" s="278" t="inlineStr"/>
      <c r="CYW79" s="278" t="inlineStr"/>
      <c r="CYX79" s="278" t="inlineStr"/>
      <c r="CYY79" s="278" t="inlineStr"/>
      <c r="CYZ79" s="278" t="inlineStr"/>
      <c r="CZA79" s="278" t="inlineStr"/>
      <c r="CZB79" s="278" t="inlineStr"/>
      <c r="CZC79" s="278" t="inlineStr"/>
      <c r="CZD79" s="278" t="inlineStr"/>
      <c r="CZE79" s="278" t="inlineStr"/>
      <c r="CZF79" s="278" t="inlineStr"/>
      <c r="CZG79" s="278" t="inlineStr"/>
      <c r="CZH79" s="278" t="inlineStr"/>
      <c r="CZI79" s="278" t="inlineStr"/>
      <c r="CZJ79" s="278" t="inlineStr"/>
      <c r="CZK79" s="278" t="inlineStr"/>
      <c r="CZL79" s="278" t="inlineStr"/>
      <c r="CZM79" s="278" t="inlineStr"/>
      <c r="CZN79" s="278" t="inlineStr"/>
      <c r="CZO79" s="278" t="inlineStr"/>
      <c r="CZP79" s="278" t="inlineStr"/>
      <c r="CZQ79" s="278" t="inlineStr"/>
      <c r="CZR79" s="278" t="inlineStr"/>
      <c r="CZS79" s="278" t="inlineStr"/>
      <c r="CZT79" s="278" t="inlineStr"/>
      <c r="CZU79" s="278" t="inlineStr"/>
      <c r="CZV79" s="278" t="inlineStr"/>
      <c r="CZW79" s="278" t="inlineStr"/>
      <c r="CZX79" s="278" t="inlineStr"/>
      <c r="CZY79" s="278" t="inlineStr"/>
      <c r="CZZ79" s="278" t="inlineStr"/>
      <c r="DAA79" s="278" t="inlineStr"/>
      <c r="DAB79" s="278" t="inlineStr"/>
      <c r="DAC79" s="278" t="inlineStr"/>
      <c r="DAD79" s="278" t="inlineStr"/>
      <c r="DAE79" s="278" t="inlineStr"/>
      <c r="DAF79" s="278" t="inlineStr"/>
      <c r="DAG79" s="278" t="inlineStr"/>
      <c r="DAH79" s="278" t="inlineStr"/>
      <c r="DAI79" s="278" t="inlineStr"/>
      <c r="DAJ79" s="278" t="inlineStr"/>
      <c r="DAK79" s="278" t="inlineStr"/>
      <c r="DAL79" s="278" t="inlineStr"/>
      <c r="DAM79" s="278" t="inlineStr"/>
      <c r="DAN79" s="278" t="inlineStr"/>
      <c r="DAO79" s="278" t="inlineStr"/>
      <c r="DAP79" s="278" t="inlineStr"/>
      <c r="DAQ79" s="278" t="inlineStr"/>
      <c r="DAR79" s="278" t="inlineStr"/>
      <c r="DAS79" s="278" t="inlineStr"/>
      <c r="DAT79" s="278" t="inlineStr"/>
      <c r="DAU79" s="278" t="inlineStr"/>
      <c r="DAV79" s="278" t="inlineStr"/>
      <c r="DAW79" s="278" t="inlineStr"/>
      <c r="DAX79" s="278" t="inlineStr"/>
      <c r="DAY79" s="278" t="inlineStr"/>
      <c r="DAZ79" s="278" t="inlineStr"/>
      <c r="DBA79" s="278" t="inlineStr"/>
      <c r="DBB79" s="278" t="inlineStr"/>
      <c r="DBC79" s="278" t="inlineStr"/>
      <c r="DBD79" s="278" t="inlineStr"/>
      <c r="DBE79" s="278" t="inlineStr"/>
      <c r="DBF79" s="278" t="inlineStr"/>
      <c r="DBG79" s="278" t="inlineStr"/>
      <c r="DBH79" s="278" t="inlineStr"/>
      <c r="DBI79" s="278" t="inlineStr"/>
      <c r="DBJ79" s="278" t="inlineStr"/>
      <c r="DBK79" s="278" t="inlineStr"/>
      <c r="DBL79" s="278" t="inlineStr"/>
      <c r="DBM79" s="278" t="inlineStr"/>
      <c r="DBN79" s="278" t="inlineStr"/>
      <c r="DBO79" s="278" t="inlineStr"/>
      <c r="DBP79" s="278" t="inlineStr"/>
      <c r="DBQ79" s="278" t="inlineStr"/>
      <c r="DBR79" s="278" t="inlineStr"/>
      <c r="DBS79" s="278" t="inlineStr"/>
      <c r="DBT79" s="278" t="inlineStr"/>
      <c r="DBU79" s="278" t="inlineStr"/>
      <c r="DBV79" s="278" t="inlineStr"/>
      <c r="DBW79" s="278" t="inlineStr"/>
      <c r="DBX79" s="278" t="inlineStr"/>
      <c r="DBY79" s="278" t="inlineStr"/>
      <c r="DBZ79" s="278" t="inlineStr"/>
      <c r="DCA79" s="278" t="inlineStr"/>
      <c r="DCB79" s="278" t="inlineStr"/>
      <c r="DCC79" s="278" t="inlineStr"/>
      <c r="DCD79" s="278" t="inlineStr"/>
      <c r="DCE79" s="278" t="inlineStr"/>
      <c r="DCF79" s="278" t="inlineStr"/>
      <c r="DCG79" s="278" t="inlineStr"/>
      <c r="DCH79" s="278" t="inlineStr"/>
      <c r="DCI79" s="278" t="inlineStr"/>
      <c r="DCJ79" s="278" t="inlineStr"/>
      <c r="DCK79" s="278" t="inlineStr"/>
      <c r="DCL79" s="278" t="inlineStr"/>
      <c r="DCM79" s="278" t="inlineStr"/>
      <c r="DCN79" s="278" t="inlineStr"/>
      <c r="DCO79" s="278" t="inlineStr"/>
      <c r="DCP79" s="278" t="inlineStr"/>
      <c r="DCQ79" s="278" t="inlineStr"/>
      <c r="DCR79" s="278" t="inlineStr"/>
      <c r="DCS79" s="278" t="inlineStr"/>
      <c r="DCT79" s="278" t="inlineStr"/>
      <c r="DCU79" s="278" t="inlineStr"/>
      <c r="DCV79" s="278" t="inlineStr"/>
      <c r="DCW79" s="278" t="inlineStr"/>
      <c r="DCX79" s="278" t="inlineStr"/>
      <c r="DCY79" s="278" t="inlineStr"/>
      <c r="DCZ79" s="278" t="inlineStr"/>
      <c r="DDA79" s="278" t="inlineStr"/>
      <c r="DDB79" s="278" t="inlineStr"/>
      <c r="DDC79" s="278" t="inlineStr"/>
      <c r="DDD79" s="278" t="inlineStr"/>
      <c r="DDE79" s="278" t="inlineStr"/>
      <c r="DDF79" s="278" t="inlineStr"/>
      <c r="DDG79" s="278" t="inlineStr"/>
      <c r="DDH79" s="278" t="inlineStr"/>
      <c r="DDI79" s="278" t="inlineStr"/>
      <c r="DDJ79" s="278" t="inlineStr"/>
      <c r="DDK79" s="278" t="inlineStr"/>
      <c r="DDL79" s="278" t="inlineStr"/>
      <c r="DDM79" s="278" t="inlineStr"/>
      <c r="DDN79" s="278" t="inlineStr"/>
      <c r="DDO79" s="278" t="inlineStr"/>
      <c r="DDP79" s="278" t="inlineStr"/>
      <c r="DDQ79" s="278" t="inlineStr"/>
      <c r="DDR79" s="278" t="inlineStr"/>
      <c r="DDS79" s="278" t="inlineStr"/>
      <c r="DDT79" s="278" t="inlineStr"/>
      <c r="DDU79" s="278" t="inlineStr"/>
      <c r="DDV79" s="278" t="inlineStr"/>
      <c r="DDW79" s="278" t="inlineStr"/>
      <c r="DDX79" s="278" t="inlineStr"/>
      <c r="DDY79" s="278" t="inlineStr"/>
      <c r="DDZ79" s="278" t="inlineStr"/>
      <c r="DEA79" s="278" t="inlineStr"/>
      <c r="DEB79" s="278" t="inlineStr"/>
      <c r="DEC79" s="278" t="inlineStr"/>
      <c r="DED79" s="278" t="inlineStr"/>
      <c r="DEE79" s="278" t="inlineStr"/>
      <c r="DEF79" s="278" t="inlineStr"/>
      <c r="DEG79" s="278" t="inlineStr"/>
      <c r="DEH79" s="278" t="inlineStr"/>
      <c r="DEI79" s="278" t="inlineStr"/>
      <c r="DEJ79" s="278" t="inlineStr"/>
      <c r="DEK79" s="278" t="inlineStr"/>
      <c r="DEL79" s="278" t="inlineStr"/>
      <c r="DEM79" s="278" t="inlineStr"/>
      <c r="DEN79" s="278" t="inlineStr"/>
      <c r="DEO79" s="278" t="inlineStr"/>
      <c r="DEP79" s="278" t="inlineStr"/>
      <c r="DEQ79" s="278" t="inlineStr"/>
      <c r="DER79" s="278" t="inlineStr"/>
      <c r="DES79" s="278" t="inlineStr"/>
      <c r="DET79" s="278" t="inlineStr"/>
      <c r="DEU79" s="278" t="inlineStr"/>
      <c r="DEV79" s="278" t="inlineStr"/>
      <c r="DEW79" s="278" t="inlineStr"/>
      <c r="DEX79" s="278" t="inlineStr"/>
      <c r="DEY79" s="278" t="inlineStr"/>
      <c r="DEZ79" s="278" t="inlineStr"/>
      <c r="DFA79" s="278" t="inlineStr"/>
      <c r="DFB79" s="278" t="inlineStr"/>
      <c r="DFC79" s="278" t="inlineStr"/>
      <c r="DFD79" s="278" t="inlineStr"/>
      <c r="DFE79" s="278" t="inlineStr"/>
      <c r="DFF79" s="278" t="inlineStr"/>
      <c r="DFG79" s="278" t="inlineStr"/>
      <c r="DFH79" s="278" t="inlineStr"/>
      <c r="DFI79" s="278" t="inlineStr"/>
      <c r="DFJ79" s="278" t="inlineStr"/>
      <c r="DFK79" s="278" t="inlineStr"/>
      <c r="DFL79" s="278" t="inlineStr"/>
      <c r="DFM79" s="278" t="inlineStr"/>
      <c r="DFN79" s="278" t="inlineStr"/>
      <c r="DFO79" s="278" t="inlineStr"/>
      <c r="DFP79" s="278" t="inlineStr"/>
      <c r="DFQ79" s="278" t="inlineStr"/>
      <c r="DFR79" s="278" t="inlineStr"/>
      <c r="DFS79" s="278" t="inlineStr"/>
      <c r="DFT79" s="278" t="inlineStr"/>
      <c r="DFU79" s="278" t="inlineStr"/>
      <c r="DFV79" s="278" t="inlineStr"/>
      <c r="DFW79" s="278" t="inlineStr"/>
      <c r="DFX79" s="278" t="inlineStr"/>
      <c r="DFY79" s="278" t="inlineStr"/>
      <c r="DFZ79" s="278" t="inlineStr"/>
      <c r="DGA79" s="278" t="inlineStr"/>
      <c r="DGB79" s="278" t="inlineStr"/>
      <c r="DGC79" s="278" t="inlineStr"/>
      <c r="DGD79" s="278" t="inlineStr"/>
      <c r="DGE79" s="278" t="inlineStr"/>
      <c r="DGF79" s="278" t="inlineStr"/>
      <c r="DGG79" s="278" t="inlineStr"/>
      <c r="DGH79" s="278" t="inlineStr"/>
      <c r="DGI79" s="278" t="inlineStr"/>
      <c r="DGJ79" s="278" t="inlineStr"/>
      <c r="DGK79" s="278" t="inlineStr"/>
      <c r="DGL79" s="278" t="inlineStr"/>
      <c r="DGM79" s="278" t="inlineStr"/>
      <c r="DGN79" s="278" t="inlineStr"/>
      <c r="DGO79" s="278" t="inlineStr"/>
      <c r="DGP79" s="278" t="inlineStr"/>
      <c r="DGQ79" s="278" t="inlineStr"/>
      <c r="DGR79" s="278" t="inlineStr"/>
      <c r="DGS79" s="278" t="inlineStr"/>
      <c r="DGT79" s="278" t="inlineStr"/>
      <c r="DGU79" s="278" t="inlineStr"/>
      <c r="DGV79" s="278" t="inlineStr"/>
      <c r="DGW79" s="278" t="inlineStr"/>
      <c r="DGX79" s="278" t="inlineStr"/>
      <c r="DGY79" s="278" t="inlineStr"/>
      <c r="DGZ79" s="278" t="inlineStr"/>
      <c r="DHA79" s="278" t="inlineStr"/>
      <c r="DHB79" s="278" t="inlineStr"/>
      <c r="DHC79" s="278" t="inlineStr"/>
      <c r="DHD79" s="278" t="inlineStr"/>
      <c r="DHE79" s="278" t="inlineStr"/>
      <c r="DHF79" s="278" t="inlineStr"/>
      <c r="DHG79" s="278" t="inlineStr"/>
      <c r="DHH79" s="278" t="inlineStr"/>
      <c r="DHI79" s="278" t="inlineStr"/>
      <c r="DHJ79" s="278" t="inlineStr"/>
      <c r="DHK79" s="278" t="inlineStr"/>
      <c r="DHL79" s="278" t="inlineStr"/>
      <c r="DHM79" s="278" t="inlineStr"/>
      <c r="DHN79" s="278" t="inlineStr"/>
      <c r="DHO79" s="278" t="inlineStr"/>
      <c r="DHP79" s="278" t="inlineStr"/>
      <c r="DHQ79" s="278" t="inlineStr"/>
      <c r="DHR79" s="278" t="inlineStr"/>
      <c r="DHS79" s="278" t="inlineStr"/>
      <c r="DHT79" s="278" t="inlineStr"/>
      <c r="DHU79" s="278" t="inlineStr"/>
      <c r="DHV79" s="278" t="inlineStr"/>
      <c r="DHW79" s="278" t="inlineStr"/>
      <c r="DHX79" s="278" t="inlineStr"/>
      <c r="DHY79" s="278" t="inlineStr"/>
      <c r="DHZ79" s="278" t="inlineStr"/>
      <c r="DIA79" s="278" t="inlineStr"/>
      <c r="DIB79" s="278" t="inlineStr"/>
      <c r="DIC79" s="278" t="inlineStr"/>
      <c r="DID79" s="278" t="inlineStr"/>
      <c r="DIE79" s="278" t="inlineStr"/>
      <c r="DIF79" s="278" t="inlineStr"/>
      <c r="DIG79" s="278" t="inlineStr"/>
      <c r="DIH79" s="278" t="inlineStr"/>
      <c r="DII79" s="278" t="inlineStr"/>
      <c r="DIJ79" s="278" t="inlineStr"/>
      <c r="DIK79" s="278" t="inlineStr"/>
      <c r="DIL79" s="278" t="inlineStr"/>
      <c r="DIM79" s="278" t="inlineStr"/>
      <c r="DIN79" s="278" t="inlineStr"/>
      <c r="DIO79" s="278" t="inlineStr"/>
      <c r="DIP79" s="278" t="inlineStr"/>
      <c r="DIQ79" s="278" t="inlineStr"/>
      <c r="DIR79" s="278" t="inlineStr"/>
      <c r="DIS79" s="278" t="inlineStr"/>
      <c r="DIT79" s="278" t="inlineStr"/>
      <c r="DIU79" s="278" t="inlineStr"/>
      <c r="DIV79" s="278" t="inlineStr"/>
      <c r="DIW79" s="278" t="inlineStr"/>
      <c r="DIX79" s="278" t="inlineStr"/>
      <c r="DIY79" s="278" t="inlineStr"/>
      <c r="DIZ79" s="278" t="inlineStr"/>
      <c r="DJA79" s="278" t="inlineStr"/>
      <c r="DJB79" s="278" t="inlineStr"/>
      <c r="DJC79" s="278" t="inlineStr"/>
      <c r="DJD79" s="278" t="inlineStr"/>
      <c r="DJE79" s="278" t="inlineStr"/>
      <c r="DJF79" s="278" t="inlineStr"/>
      <c r="DJG79" s="278" t="inlineStr"/>
      <c r="DJH79" s="278" t="inlineStr"/>
      <c r="DJI79" s="278" t="inlineStr"/>
      <c r="DJJ79" s="278" t="inlineStr"/>
      <c r="DJK79" s="278" t="inlineStr"/>
      <c r="DJL79" s="278" t="inlineStr"/>
      <c r="DJM79" s="278" t="inlineStr"/>
      <c r="DJN79" s="278" t="inlineStr"/>
      <c r="DJO79" s="278" t="inlineStr"/>
      <c r="DJP79" s="278" t="inlineStr"/>
      <c r="DJQ79" s="278" t="inlineStr"/>
      <c r="DJR79" s="278" t="inlineStr"/>
      <c r="DJS79" s="278" t="inlineStr"/>
      <c r="DJT79" s="278" t="inlineStr"/>
      <c r="DJU79" s="278" t="inlineStr"/>
      <c r="DJV79" s="278" t="inlineStr"/>
      <c r="DJW79" s="278" t="inlineStr"/>
      <c r="DJX79" s="278" t="inlineStr"/>
      <c r="DJY79" s="278" t="inlineStr"/>
      <c r="DJZ79" s="278" t="inlineStr"/>
      <c r="DKA79" s="278" t="inlineStr"/>
      <c r="DKB79" s="278" t="inlineStr"/>
      <c r="DKC79" s="278" t="inlineStr"/>
      <c r="DKD79" s="278" t="inlineStr"/>
      <c r="DKE79" s="278" t="inlineStr"/>
      <c r="DKF79" s="278" t="inlineStr"/>
      <c r="DKG79" s="278" t="inlineStr"/>
      <c r="DKH79" s="278" t="inlineStr"/>
      <c r="DKI79" s="278" t="inlineStr"/>
      <c r="DKJ79" s="278" t="inlineStr"/>
      <c r="DKK79" s="278" t="inlineStr"/>
      <c r="DKL79" s="278" t="inlineStr"/>
      <c r="DKM79" s="278" t="inlineStr"/>
      <c r="DKN79" s="278" t="inlineStr"/>
      <c r="DKO79" s="278" t="inlineStr"/>
      <c r="DKP79" s="278" t="inlineStr"/>
      <c r="DKQ79" s="278" t="inlineStr"/>
      <c r="DKR79" s="278" t="inlineStr"/>
      <c r="DKS79" s="278" t="inlineStr"/>
      <c r="DKT79" s="278" t="inlineStr"/>
      <c r="DKU79" s="278" t="inlineStr"/>
      <c r="DKV79" s="278" t="inlineStr"/>
      <c r="DKW79" s="278" t="inlineStr"/>
      <c r="DKX79" s="278" t="inlineStr"/>
      <c r="DKY79" s="278" t="inlineStr"/>
      <c r="DKZ79" s="278" t="inlineStr"/>
      <c r="DLA79" s="278" t="inlineStr"/>
      <c r="DLB79" s="278" t="inlineStr"/>
      <c r="DLC79" s="278" t="inlineStr"/>
      <c r="DLD79" s="278" t="inlineStr"/>
      <c r="DLE79" s="278" t="inlineStr"/>
      <c r="DLF79" s="278" t="inlineStr"/>
      <c r="DLG79" s="278" t="inlineStr"/>
      <c r="DLH79" s="278" t="inlineStr"/>
      <c r="DLI79" s="278" t="inlineStr"/>
      <c r="DLJ79" s="278" t="inlineStr"/>
      <c r="DLK79" s="278" t="inlineStr"/>
      <c r="DLL79" s="278" t="inlineStr"/>
      <c r="DLM79" s="278" t="inlineStr"/>
      <c r="DLN79" s="278" t="inlineStr"/>
      <c r="DLO79" s="278" t="inlineStr"/>
      <c r="DLP79" s="278" t="inlineStr"/>
      <c r="DLQ79" s="278" t="inlineStr"/>
      <c r="DLR79" s="278" t="inlineStr"/>
      <c r="DLS79" s="278" t="inlineStr"/>
      <c r="DLT79" s="278" t="inlineStr"/>
      <c r="DLU79" s="278" t="inlineStr"/>
      <c r="DLV79" s="278" t="inlineStr"/>
      <c r="DLW79" s="278" t="inlineStr"/>
      <c r="DLX79" s="278" t="inlineStr"/>
      <c r="DLY79" s="278" t="inlineStr"/>
      <c r="DLZ79" s="278" t="inlineStr"/>
      <c r="DMA79" s="278" t="inlineStr"/>
      <c r="DMB79" s="278" t="inlineStr"/>
      <c r="DMC79" s="278" t="inlineStr"/>
      <c r="DMD79" s="278" t="inlineStr"/>
      <c r="DME79" s="278" t="inlineStr"/>
      <c r="DMF79" s="278" t="inlineStr"/>
      <c r="DMG79" s="278" t="inlineStr"/>
      <c r="DMH79" s="278" t="inlineStr"/>
      <c r="DMI79" s="278" t="inlineStr"/>
      <c r="DMJ79" s="278" t="inlineStr"/>
      <c r="DMK79" s="278" t="inlineStr"/>
      <c r="DML79" s="278" t="inlineStr"/>
      <c r="DMM79" s="278" t="inlineStr"/>
      <c r="DMN79" s="278" t="inlineStr"/>
      <c r="DMO79" s="278" t="inlineStr"/>
      <c r="DMP79" s="278" t="inlineStr"/>
      <c r="DMQ79" s="278" t="inlineStr"/>
      <c r="DMR79" s="278" t="inlineStr"/>
      <c r="DMS79" s="278" t="inlineStr"/>
      <c r="DMT79" s="278" t="inlineStr"/>
      <c r="DMU79" s="278" t="inlineStr"/>
      <c r="DMV79" s="278" t="inlineStr"/>
      <c r="DMW79" s="278" t="inlineStr"/>
      <c r="DMX79" s="278" t="inlineStr"/>
      <c r="DMY79" s="278" t="inlineStr"/>
      <c r="DMZ79" s="278" t="inlineStr"/>
      <c r="DNA79" s="278" t="inlineStr"/>
      <c r="DNB79" s="278" t="inlineStr"/>
      <c r="DNC79" s="278" t="inlineStr"/>
      <c r="DND79" s="278" t="inlineStr"/>
      <c r="DNE79" s="278" t="inlineStr"/>
      <c r="DNF79" s="278" t="inlineStr"/>
      <c r="DNG79" s="278" t="inlineStr"/>
      <c r="DNH79" s="278" t="inlineStr"/>
      <c r="DNI79" s="278" t="inlineStr"/>
      <c r="DNJ79" s="278" t="inlineStr"/>
      <c r="DNK79" s="278" t="inlineStr"/>
      <c r="DNL79" s="278" t="inlineStr"/>
      <c r="DNM79" s="278" t="inlineStr"/>
      <c r="DNN79" s="278" t="inlineStr"/>
      <c r="DNO79" s="278" t="inlineStr"/>
      <c r="DNP79" s="278" t="inlineStr"/>
      <c r="DNQ79" s="278" t="inlineStr"/>
      <c r="DNR79" s="278" t="inlineStr"/>
      <c r="DNS79" s="278" t="inlineStr"/>
      <c r="DNT79" s="278" t="inlineStr"/>
      <c r="DNU79" s="278" t="inlineStr"/>
      <c r="DNV79" s="278" t="inlineStr"/>
      <c r="DNW79" s="278" t="inlineStr"/>
      <c r="DNX79" s="278" t="inlineStr"/>
      <c r="DNY79" s="278" t="inlineStr"/>
      <c r="DNZ79" s="278" t="inlineStr"/>
      <c r="DOA79" s="278" t="inlineStr"/>
      <c r="DOB79" s="278" t="inlineStr"/>
      <c r="DOC79" s="278" t="inlineStr"/>
      <c r="DOD79" s="278" t="inlineStr"/>
      <c r="DOE79" s="278" t="inlineStr"/>
      <c r="DOF79" s="278" t="inlineStr"/>
      <c r="DOG79" s="278" t="inlineStr"/>
      <c r="DOH79" s="278" t="inlineStr"/>
      <c r="DOI79" s="278" t="inlineStr"/>
      <c r="DOJ79" s="278" t="inlineStr"/>
      <c r="DOK79" s="278" t="inlineStr"/>
      <c r="DOL79" s="278" t="inlineStr"/>
      <c r="DOM79" s="278" t="inlineStr"/>
      <c r="DON79" s="278" t="inlineStr"/>
      <c r="DOO79" s="278" t="inlineStr"/>
      <c r="DOP79" s="278" t="inlineStr"/>
      <c r="DOQ79" s="278" t="inlineStr"/>
      <c r="DOR79" s="278" t="inlineStr"/>
      <c r="DOS79" s="278" t="inlineStr"/>
      <c r="DOT79" s="278" t="inlineStr"/>
      <c r="DOU79" s="278" t="inlineStr"/>
      <c r="DOV79" s="278" t="inlineStr"/>
      <c r="DOW79" s="278" t="inlineStr"/>
      <c r="DOX79" s="278" t="inlineStr"/>
      <c r="DOY79" s="278" t="inlineStr"/>
      <c r="DOZ79" s="278" t="inlineStr"/>
      <c r="DPA79" s="278" t="inlineStr"/>
      <c r="DPB79" s="278" t="inlineStr"/>
      <c r="DPC79" s="278" t="inlineStr"/>
      <c r="DPD79" s="278" t="inlineStr"/>
      <c r="DPE79" s="278" t="inlineStr"/>
      <c r="DPF79" s="278" t="inlineStr"/>
      <c r="DPG79" s="278" t="inlineStr"/>
      <c r="DPH79" s="278" t="inlineStr"/>
      <c r="DPI79" s="278" t="inlineStr"/>
      <c r="DPJ79" s="278" t="inlineStr"/>
      <c r="DPK79" s="278" t="inlineStr"/>
      <c r="DPL79" s="278" t="inlineStr"/>
      <c r="DPM79" s="278" t="inlineStr"/>
      <c r="DPN79" s="278" t="inlineStr"/>
      <c r="DPO79" s="278" t="inlineStr"/>
      <c r="DPP79" s="278" t="inlineStr"/>
      <c r="DPQ79" s="278" t="inlineStr"/>
      <c r="DPR79" s="278" t="inlineStr"/>
      <c r="DPS79" s="278" t="inlineStr"/>
      <c r="DPT79" s="278" t="inlineStr"/>
      <c r="DPU79" s="278" t="inlineStr"/>
      <c r="DPV79" s="278" t="inlineStr"/>
      <c r="DPW79" s="278" t="inlineStr"/>
      <c r="DPX79" s="278" t="inlineStr"/>
      <c r="DPY79" s="278" t="inlineStr"/>
      <c r="DPZ79" s="278" t="inlineStr"/>
      <c r="DQA79" s="278" t="inlineStr"/>
      <c r="DQB79" s="278" t="inlineStr"/>
      <c r="DQC79" s="278" t="inlineStr"/>
      <c r="DQD79" s="278" t="inlineStr"/>
      <c r="DQE79" s="278" t="inlineStr"/>
      <c r="DQF79" s="278" t="inlineStr"/>
      <c r="DQG79" s="278" t="inlineStr"/>
      <c r="DQH79" s="278" t="inlineStr"/>
      <c r="DQI79" s="278" t="inlineStr"/>
      <c r="DQJ79" s="278" t="inlineStr"/>
      <c r="DQK79" s="278" t="inlineStr"/>
      <c r="DQL79" s="278" t="inlineStr"/>
      <c r="DQM79" s="278" t="inlineStr"/>
      <c r="DQN79" s="278" t="inlineStr"/>
      <c r="DQO79" s="278" t="inlineStr"/>
      <c r="DQP79" s="278" t="inlineStr"/>
      <c r="DQQ79" s="278" t="inlineStr"/>
      <c r="DQR79" s="278" t="inlineStr"/>
      <c r="DQS79" s="278" t="inlineStr"/>
      <c r="DQT79" s="278" t="inlineStr"/>
      <c r="DQU79" s="278" t="inlineStr"/>
      <c r="DQV79" s="278" t="inlineStr"/>
      <c r="DQW79" s="278" t="inlineStr"/>
      <c r="DQX79" s="278" t="inlineStr"/>
      <c r="DQY79" s="278" t="inlineStr"/>
      <c r="DQZ79" s="278" t="inlineStr"/>
      <c r="DRA79" s="278" t="inlineStr"/>
      <c r="DRB79" s="278" t="inlineStr"/>
      <c r="DRC79" s="278" t="inlineStr"/>
      <c r="DRD79" s="278" t="inlineStr"/>
      <c r="DRE79" s="278" t="inlineStr"/>
      <c r="DRF79" s="278" t="inlineStr"/>
      <c r="DRG79" s="278" t="inlineStr"/>
      <c r="DRH79" s="278" t="inlineStr"/>
      <c r="DRI79" s="278" t="inlineStr"/>
      <c r="DRJ79" s="278" t="inlineStr"/>
      <c r="DRK79" s="278" t="inlineStr"/>
      <c r="DRL79" s="278" t="inlineStr"/>
      <c r="DRM79" s="278" t="inlineStr"/>
      <c r="DRN79" s="278" t="inlineStr"/>
      <c r="DRO79" s="278" t="inlineStr"/>
      <c r="DRP79" s="278" t="inlineStr"/>
      <c r="DRQ79" s="278" t="inlineStr"/>
      <c r="DRR79" s="278" t="inlineStr"/>
      <c r="DRS79" s="278" t="inlineStr"/>
      <c r="DRT79" s="278" t="inlineStr"/>
      <c r="DRU79" s="278" t="inlineStr"/>
      <c r="DRV79" s="278" t="inlineStr"/>
      <c r="DRW79" s="278" t="inlineStr"/>
      <c r="DRX79" s="278" t="inlineStr"/>
      <c r="DRY79" s="278" t="inlineStr"/>
      <c r="DRZ79" s="278" t="inlineStr"/>
      <c r="DSA79" s="278" t="inlineStr"/>
      <c r="DSB79" s="278" t="inlineStr"/>
      <c r="DSC79" s="278" t="inlineStr"/>
      <c r="DSD79" s="278" t="inlineStr"/>
      <c r="DSE79" s="278" t="inlineStr"/>
      <c r="DSF79" s="278" t="inlineStr"/>
      <c r="DSG79" s="278" t="inlineStr"/>
      <c r="DSH79" s="278" t="inlineStr"/>
      <c r="DSI79" s="278" t="inlineStr"/>
      <c r="DSJ79" s="278" t="inlineStr"/>
      <c r="DSK79" s="278" t="inlineStr"/>
      <c r="DSL79" s="278" t="inlineStr"/>
      <c r="DSM79" s="278" t="inlineStr"/>
      <c r="DSN79" s="278" t="inlineStr"/>
      <c r="DSO79" s="278" t="inlineStr"/>
      <c r="DSP79" s="278" t="inlineStr"/>
      <c r="DSQ79" s="278" t="inlineStr"/>
      <c r="DSR79" s="278" t="inlineStr"/>
      <c r="DSS79" s="278" t="inlineStr"/>
      <c r="DST79" s="278" t="inlineStr"/>
      <c r="DSU79" s="278" t="inlineStr"/>
      <c r="DSV79" s="278" t="inlineStr"/>
      <c r="DSW79" s="278" t="inlineStr"/>
      <c r="DSX79" s="278" t="inlineStr"/>
      <c r="DSY79" s="278" t="inlineStr"/>
      <c r="DSZ79" s="278" t="inlineStr"/>
      <c r="DTA79" s="278" t="inlineStr"/>
      <c r="DTB79" s="278" t="inlineStr"/>
      <c r="DTC79" s="278" t="inlineStr"/>
      <c r="DTD79" s="278" t="inlineStr"/>
      <c r="DTE79" s="278" t="inlineStr"/>
      <c r="DTF79" s="278" t="inlineStr"/>
      <c r="DTG79" s="278" t="inlineStr"/>
      <c r="DTH79" s="278" t="inlineStr"/>
      <c r="DTI79" s="278" t="inlineStr"/>
      <c r="DTJ79" s="278" t="inlineStr"/>
      <c r="DTK79" s="278" t="inlineStr"/>
      <c r="DTL79" s="278" t="inlineStr"/>
      <c r="DTM79" s="278" t="inlineStr"/>
      <c r="DTN79" s="278" t="inlineStr"/>
      <c r="DTO79" s="278" t="inlineStr"/>
      <c r="DTP79" s="278" t="inlineStr"/>
      <c r="DTQ79" s="278" t="inlineStr"/>
      <c r="DTR79" s="278" t="inlineStr"/>
      <c r="DTS79" s="278" t="inlineStr"/>
      <c r="DTT79" s="278" t="inlineStr"/>
      <c r="DTU79" s="278" t="inlineStr"/>
      <c r="DTV79" s="278" t="inlineStr"/>
      <c r="DTW79" s="278" t="inlineStr"/>
      <c r="DTX79" s="278" t="inlineStr"/>
      <c r="DTY79" s="278" t="inlineStr"/>
      <c r="DTZ79" s="278" t="inlineStr"/>
      <c r="DUA79" s="278" t="inlineStr"/>
      <c r="DUB79" s="278" t="inlineStr"/>
      <c r="DUC79" s="278" t="inlineStr"/>
      <c r="DUD79" s="278" t="inlineStr"/>
      <c r="DUE79" s="278" t="inlineStr"/>
      <c r="DUF79" s="278" t="inlineStr"/>
      <c r="DUG79" s="278" t="inlineStr"/>
      <c r="DUH79" s="278" t="inlineStr"/>
      <c r="DUI79" s="278" t="inlineStr"/>
      <c r="DUJ79" s="278" t="inlineStr"/>
      <c r="DUK79" s="278" t="inlineStr"/>
      <c r="DUL79" s="278" t="inlineStr"/>
      <c r="DUM79" s="278" t="inlineStr"/>
      <c r="DUN79" s="278" t="inlineStr"/>
      <c r="DUO79" s="278" t="inlineStr"/>
      <c r="DUP79" s="278" t="inlineStr"/>
      <c r="DUQ79" s="278" t="inlineStr"/>
      <c r="DUR79" s="278" t="inlineStr"/>
      <c r="DUS79" s="278" t="inlineStr"/>
      <c r="DUT79" s="278" t="inlineStr"/>
      <c r="DUU79" s="278" t="inlineStr"/>
      <c r="DUV79" s="278" t="inlineStr"/>
      <c r="DUW79" s="278" t="inlineStr"/>
      <c r="DUX79" s="278" t="inlineStr"/>
      <c r="DUY79" s="278" t="inlineStr"/>
      <c r="DUZ79" s="278" t="inlineStr"/>
      <c r="DVA79" s="278" t="inlineStr"/>
      <c r="DVB79" s="278" t="inlineStr"/>
      <c r="DVC79" s="278" t="inlineStr"/>
      <c r="DVD79" s="278" t="inlineStr"/>
      <c r="DVE79" s="278" t="inlineStr"/>
      <c r="DVF79" s="278" t="inlineStr"/>
      <c r="DVG79" s="278" t="inlineStr"/>
      <c r="DVH79" s="278" t="inlineStr"/>
      <c r="DVI79" s="278" t="inlineStr"/>
      <c r="DVJ79" s="278" t="inlineStr"/>
      <c r="DVK79" s="278" t="inlineStr"/>
      <c r="DVL79" s="278" t="inlineStr"/>
      <c r="DVM79" s="278" t="inlineStr"/>
      <c r="DVN79" s="278" t="inlineStr"/>
      <c r="DVO79" s="278" t="inlineStr"/>
      <c r="DVP79" s="278" t="inlineStr"/>
      <c r="DVQ79" s="278" t="inlineStr"/>
      <c r="DVR79" s="278" t="inlineStr"/>
      <c r="DVS79" s="278" t="inlineStr"/>
      <c r="DVT79" s="278" t="inlineStr"/>
      <c r="DVU79" s="278" t="inlineStr"/>
      <c r="DVV79" s="278" t="inlineStr"/>
      <c r="DVW79" s="278" t="inlineStr"/>
      <c r="DVX79" s="278" t="inlineStr"/>
      <c r="DVY79" s="278" t="inlineStr"/>
      <c r="DVZ79" s="278" t="inlineStr"/>
      <c r="DWA79" s="278" t="inlineStr"/>
      <c r="DWB79" s="278" t="inlineStr"/>
      <c r="DWC79" s="278" t="inlineStr"/>
      <c r="DWD79" s="278" t="inlineStr"/>
      <c r="DWE79" s="278" t="inlineStr"/>
      <c r="DWF79" s="278" t="inlineStr"/>
      <c r="DWG79" s="278" t="inlineStr"/>
      <c r="DWH79" s="278" t="inlineStr"/>
      <c r="DWI79" s="278" t="inlineStr"/>
      <c r="DWJ79" s="278" t="inlineStr"/>
      <c r="DWK79" s="278" t="inlineStr"/>
      <c r="DWL79" s="278" t="inlineStr"/>
      <c r="DWM79" s="278" t="inlineStr"/>
      <c r="DWN79" s="278" t="inlineStr"/>
      <c r="DWO79" s="278" t="inlineStr"/>
      <c r="DWP79" s="278" t="inlineStr"/>
      <c r="DWQ79" s="278" t="inlineStr"/>
      <c r="DWR79" s="278" t="inlineStr"/>
      <c r="DWS79" s="278" t="inlineStr"/>
      <c r="DWT79" s="278" t="inlineStr"/>
      <c r="DWU79" s="278" t="inlineStr"/>
      <c r="DWV79" s="278" t="inlineStr"/>
      <c r="DWW79" s="278" t="inlineStr"/>
      <c r="DWX79" s="278" t="inlineStr"/>
      <c r="DWY79" s="278" t="inlineStr"/>
      <c r="DWZ79" s="278" t="inlineStr"/>
      <c r="DXA79" s="278" t="inlineStr"/>
      <c r="DXB79" s="278" t="inlineStr"/>
      <c r="DXC79" s="278" t="inlineStr"/>
      <c r="DXD79" s="278" t="inlineStr"/>
      <c r="DXE79" s="278" t="inlineStr"/>
      <c r="DXF79" s="278" t="inlineStr"/>
      <c r="DXG79" s="278" t="inlineStr"/>
      <c r="DXH79" s="278" t="inlineStr"/>
      <c r="DXI79" s="278" t="inlineStr"/>
      <c r="DXJ79" s="278" t="inlineStr"/>
      <c r="DXK79" s="278" t="inlineStr"/>
      <c r="DXL79" s="278" t="inlineStr"/>
      <c r="DXM79" s="278" t="inlineStr"/>
      <c r="DXN79" s="278" t="inlineStr"/>
      <c r="DXO79" s="278" t="inlineStr"/>
      <c r="DXP79" s="278" t="inlineStr"/>
      <c r="DXQ79" s="278" t="inlineStr"/>
      <c r="DXR79" s="278" t="inlineStr"/>
      <c r="DXS79" s="278" t="inlineStr"/>
      <c r="DXT79" s="278" t="inlineStr"/>
      <c r="DXU79" s="278" t="inlineStr"/>
      <c r="DXV79" s="278" t="inlineStr"/>
      <c r="DXW79" s="278" t="inlineStr"/>
      <c r="DXX79" s="278" t="inlineStr"/>
      <c r="DXY79" s="278" t="inlineStr"/>
      <c r="DXZ79" s="278" t="inlineStr"/>
      <c r="DYA79" s="278" t="inlineStr"/>
      <c r="DYB79" s="278" t="inlineStr"/>
      <c r="DYC79" s="278" t="inlineStr"/>
      <c r="DYD79" s="278" t="inlineStr"/>
      <c r="DYE79" s="278" t="inlineStr"/>
      <c r="DYF79" s="278" t="inlineStr"/>
      <c r="DYG79" s="278" t="inlineStr"/>
      <c r="DYH79" s="278" t="inlineStr"/>
      <c r="DYI79" s="278" t="inlineStr"/>
      <c r="DYJ79" s="278" t="inlineStr"/>
      <c r="DYK79" s="278" t="inlineStr"/>
      <c r="DYL79" s="278" t="inlineStr"/>
      <c r="DYM79" s="278" t="inlineStr"/>
      <c r="DYN79" s="278" t="inlineStr"/>
      <c r="DYO79" s="278" t="inlineStr"/>
      <c r="DYP79" s="278" t="inlineStr"/>
      <c r="DYQ79" s="278" t="inlineStr"/>
      <c r="DYR79" s="278" t="inlineStr"/>
      <c r="DYS79" s="278" t="inlineStr"/>
      <c r="DYT79" s="278" t="inlineStr"/>
      <c r="DYU79" s="278" t="inlineStr"/>
      <c r="DYV79" s="278" t="inlineStr"/>
      <c r="DYW79" s="278" t="inlineStr"/>
      <c r="DYX79" s="278" t="inlineStr"/>
      <c r="DYY79" s="278" t="inlineStr"/>
      <c r="DYZ79" s="278" t="inlineStr"/>
      <c r="DZA79" s="278" t="inlineStr"/>
      <c r="DZB79" s="278" t="inlineStr"/>
      <c r="DZC79" s="278" t="inlineStr"/>
      <c r="DZD79" s="278" t="inlineStr"/>
      <c r="DZE79" s="278" t="inlineStr"/>
      <c r="DZF79" s="278" t="inlineStr"/>
      <c r="DZG79" s="278" t="inlineStr"/>
      <c r="DZH79" s="278" t="inlineStr"/>
      <c r="DZI79" s="278" t="inlineStr"/>
      <c r="DZJ79" s="278" t="inlineStr"/>
      <c r="DZK79" s="278" t="inlineStr"/>
      <c r="DZL79" s="278" t="inlineStr"/>
      <c r="DZM79" s="278" t="inlineStr"/>
      <c r="DZN79" s="278" t="inlineStr"/>
      <c r="DZO79" s="278" t="inlineStr"/>
      <c r="DZP79" s="278" t="inlineStr"/>
      <c r="DZQ79" s="278" t="inlineStr"/>
      <c r="DZR79" s="278" t="inlineStr"/>
      <c r="DZS79" s="278" t="inlineStr"/>
      <c r="DZT79" s="278" t="inlineStr"/>
      <c r="DZU79" s="278" t="inlineStr"/>
      <c r="DZV79" s="278" t="inlineStr"/>
      <c r="DZW79" s="278" t="inlineStr"/>
      <c r="DZX79" s="278" t="inlineStr"/>
      <c r="DZY79" s="278" t="inlineStr"/>
      <c r="DZZ79" s="278" t="inlineStr"/>
      <c r="EAA79" s="278" t="inlineStr"/>
      <c r="EAB79" s="278" t="inlineStr"/>
      <c r="EAC79" s="278" t="inlineStr"/>
      <c r="EAD79" s="278" t="inlineStr"/>
      <c r="EAE79" s="278" t="inlineStr"/>
      <c r="EAF79" s="278" t="inlineStr"/>
      <c r="EAG79" s="278" t="inlineStr"/>
      <c r="EAH79" s="278" t="inlineStr"/>
      <c r="EAI79" s="278" t="inlineStr"/>
      <c r="EAJ79" s="278" t="inlineStr"/>
      <c r="EAK79" s="278" t="inlineStr"/>
      <c r="EAL79" s="278" t="inlineStr"/>
      <c r="EAM79" s="278" t="inlineStr"/>
      <c r="EAN79" s="278" t="inlineStr"/>
      <c r="EAO79" s="278" t="inlineStr"/>
      <c r="EAP79" s="278" t="inlineStr"/>
      <c r="EAQ79" s="278" t="inlineStr"/>
      <c r="EAR79" s="278" t="inlineStr"/>
      <c r="EAS79" s="278" t="inlineStr"/>
      <c r="EAT79" s="278" t="inlineStr"/>
      <c r="EAU79" s="278" t="inlineStr"/>
      <c r="EAV79" s="278" t="inlineStr"/>
      <c r="EAW79" s="278" t="inlineStr"/>
      <c r="EAX79" s="278" t="inlineStr"/>
      <c r="EAY79" s="278" t="inlineStr"/>
      <c r="EAZ79" s="278" t="inlineStr"/>
      <c r="EBA79" s="278" t="inlineStr"/>
      <c r="EBB79" s="278" t="inlineStr"/>
      <c r="EBC79" s="278" t="inlineStr"/>
      <c r="EBD79" s="278" t="inlineStr"/>
      <c r="EBE79" s="278" t="inlineStr"/>
      <c r="EBF79" s="278" t="inlineStr"/>
      <c r="EBG79" s="278" t="inlineStr"/>
      <c r="EBH79" s="278" t="inlineStr"/>
      <c r="EBI79" s="278" t="inlineStr"/>
      <c r="EBJ79" s="278" t="inlineStr"/>
      <c r="EBK79" s="278" t="inlineStr"/>
      <c r="EBL79" s="278" t="inlineStr"/>
      <c r="EBM79" s="278" t="inlineStr"/>
      <c r="EBN79" s="278" t="inlineStr"/>
      <c r="EBO79" s="278" t="inlineStr"/>
      <c r="EBP79" s="278" t="inlineStr"/>
      <c r="EBQ79" s="278" t="inlineStr"/>
      <c r="EBR79" s="278" t="inlineStr"/>
      <c r="EBS79" s="278" t="inlineStr"/>
      <c r="EBT79" s="278" t="inlineStr"/>
      <c r="EBU79" s="278" t="inlineStr"/>
      <c r="EBV79" s="278" t="inlineStr"/>
      <c r="EBW79" s="278" t="inlineStr"/>
      <c r="EBX79" s="278" t="inlineStr"/>
      <c r="EBY79" s="278" t="inlineStr"/>
      <c r="EBZ79" s="278" t="inlineStr"/>
      <c r="ECA79" s="278" t="inlineStr"/>
      <c r="ECB79" s="278" t="inlineStr"/>
      <c r="ECC79" s="278" t="inlineStr"/>
      <c r="ECD79" s="278" t="inlineStr"/>
      <c r="ECE79" s="278" t="inlineStr"/>
      <c r="ECF79" s="278" t="inlineStr"/>
      <c r="ECG79" s="278" t="inlineStr"/>
      <c r="ECH79" s="278" t="inlineStr"/>
      <c r="ECI79" s="278" t="inlineStr"/>
      <c r="ECJ79" s="278" t="inlineStr"/>
      <c r="ECK79" s="278" t="inlineStr"/>
      <c r="ECL79" s="278" t="inlineStr"/>
      <c r="ECM79" s="278" t="inlineStr"/>
      <c r="ECN79" s="278" t="inlineStr"/>
      <c r="ECO79" s="278" t="inlineStr"/>
      <c r="ECP79" s="278" t="inlineStr"/>
      <c r="ECQ79" s="278" t="inlineStr"/>
      <c r="ECR79" s="278" t="inlineStr"/>
      <c r="ECS79" s="278" t="inlineStr"/>
      <c r="ECT79" s="278" t="inlineStr"/>
      <c r="ECU79" s="278" t="inlineStr"/>
      <c r="ECV79" s="278" t="inlineStr"/>
      <c r="ECW79" s="278" t="inlineStr"/>
      <c r="ECX79" s="278" t="inlineStr"/>
      <c r="ECY79" s="278" t="inlineStr"/>
      <c r="ECZ79" s="278" t="inlineStr"/>
      <c r="EDA79" s="278" t="inlineStr"/>
      <c r="EDB79" s="278" t="inlineStr"/>
      <c r="EDC79" s="278" t="inlineStr"/>
      <c r="EDD79" s="278" t="inlineStr"/>
      <c r="EDE79" s="278" t="inlineStr"/>
      <c r="EDF79" s="278" t="inlineStr"/>
      <c r="EDG79" s="278" t="inlineStr"/>
      <c r="EDH79" s="278" t="inlineStr"/>
      <c r="EDI79" s="278" t="inlineStr"/>
      <c r="EDJ79" s="278" t="inlineStr"/>
      <c r="EDK79" s="278" t="inlineStr"/>
      <c r="EDL79" s="278" t="inlineStr"/>
      <c r="EDM79" s="278" t="inlineStr"/>
      <c r="EDN79" s="278" t="inlineStr"/>
      <c r="EDO79" s="278" t="inlineStr"/>
      <c r="EDP79" s="278" t="inlineStr"/>
      <c r="EDQ79" s="278" t="inlineStr"/>
      <c r="EDR79" s="278" t="inlineStr"/>
      <c r="EDS79" s="278" t="inlineStr"/>
      <c r="EDT79" s="278" t="inlineStr"/>
      <c r="EDU79" s="278" t="inlineStr"/>
      <c r="EDV79" s="278" t="inlineStr"/>
      <c r="EDW79" s="278" t="inlineStr"/>
      <c r="EDX79" s="278" t="inlineStr"/>
      <c r="EDY79" s="278" t="inlineStr"/>
      <c r="EDZ79" s="278" t="inlineStr"/>
      <c r="EEA79" s="278" t="inlineStr"/>
      <c r="EEB79" s="278" t="inlineStr"/>
      <c r="EEC79" s="278" t="inlineStr"/>
      <c r="EED79" s="278" t="inlineStr"/>
      <c r="EEE79" s="278" t="inlineStr"/>
      <c r="EEF79" s="278" t="inlineStr"/>
      <c r="EEG79" s="278" t="inlineStr"/>
      <c r="EEH79" s="278" t="inlineStr"/>
      <c r="EEI79" s="278" t="inlineStr"/>
      <c r="EEJ79" s="278" t="inlineStr"/>
      <c r="EEK79" s="278" t="inlineStr"/>
      <c r="EEL79" s="278" t="inlineStr"/>
      <c r="EEM79" s="278" t="inlineStr"/>
      <c r="EEN79" s="278" t="inlineStr"/>
      <c r="EEO79" s="278" t="inlineStr"/>
      <c r="EEP79" s="278" t="inlineStr"/>
      <c r="EEQ79" s="278" t="inlineStr"/>
      <c r="EER79" s="278" t="inlineStr"/>
      <c r="EES79" s="278" t="inlineStr"/>
      <c r="EET79" s="278" t="inlineStr"/>
      <c r="EEU79" s="278" t="inlineStr"/>
      <c r="EEV79" s="278" t="inlineStr"/>
      <c r="EEW79" s="278" t="inlineStr"/>
      <c r="EEX79" s="278" t="inlineStr"/>
      <c r="EEY79" s="278" t="inlineStr"/>
      <c r="EEZ79" s="278" t="inlineStr"/>
      <c r="EFA79" s="278" t="inlineStr"/>
      <c r="EFB79" s="278" t="inlineStr"/>
      <c r="EFC79" s="278" t="inlineStr"/>
      <c r="EFD79" s="278" t="inlineStr"/>
      <c r="EFE79" s="278" t="inlineStr"/>
      <c r="EFF79" s="278" t="inlineStr"/>
      <c r="EFG79" s="278" t="inlineStr"/>
      <c r="EFH79" s="278" t="inlineStr"/>
      <c r="EFI79" s="278" t="inlineStr"/>
      <c r="EFJ79" s="278" t="inlineStr"/>
      <c r="EFK79" s="278" t="inlineStr"/>
      <c r="EFL79" s="278" t="inlineStr"/>
      <c r="EFM79" s="278" t="inlineStr"/>
      <c r="EFN79" s="278" t="inlineStr"/>
      <c r="EFO79" s="278" t="inlineStr"/>
      <c r="EFP79" s="278" t="inlineStr"/>
      <c r="EFQ79" s="278" t="inlineStr"/>
      <c r="EFR79" s="278" t="inlineStr"/>
      <c r="EFS79" s="278" t="inlineStr"/>
      <c r="EFT79" s="278" t="inlineStr"/>
      <c r="EFU79" s="278" t="inlineStr"/>
      <c r="EFV79" s="278" t="inlineStr"/>
      <c r="EFW79" s="278" t="inlineStr"/>
      <c r="EFX79" s="278" t="inlineStr"/>
      <c r="EFY79" s="278" t="inlineStr"/>
      <c r="EFZ79" s="278" t="inlineStr"/>
      <c r="EGA79" s="278" t="inlineStr"/>
      <c r="EGB79" s="278" t="inlineStr"/>
      <c r="EGC79" s="278" t="inlineStr"/>
      <c r="EGD79" s="278" t="inlineStr"/>
      <c r="EGE79" s="278" t="inlineStr"/>
      <c r="EGF79" s="278" t="inlineStr"/>
      <c r="EGG79" s="278" t="inlineStr"/>
      <c r="EGH79" s="278" t="inlineStr"/>
      <c r="EGI79" s="278" t="inlineStr"/>
      <c r="EGJ79" s="278" t="inlineStr"/>
      <c r="EGK79" s="278" t="inlineStr"/>
      <c r="EGL79" s="278" t="inlineStr"/>
      <c r="EGM79" s="278" t="inlineStr"/>
      <c r="EGN79" s="278" t="inlineStr"/>
      <c r="EGO79" s="278" t="inlineStr"/>
      <c r="EGP79" s="278" t="inlineStr"/>
      <c r="EGQ79" s="278" t="inlineStr"/>
      <c r="EGR79" s="278" t="inlineStr"/>
      <c r="EGS79" s="278" t="inlineStr"/>
      <c r="EGT79" s="278" t="inlineStr"/>
      <c r="EGU79" s="278" t="inlineStr"/>
      <c r="EGV79" s="278" t="inlineStr"/>
      <c r="EGW79" s="278" t="inlineStr"/>
      <c r="EGX79" s="278" t="inlineStr"/>
      <c r="EGY79" s="278" t="inlineStr"/>
      <c r="EGZ79" s="278" t="inlineStr"/>
      <c r="EHA79" s="278" t="inlineStr"/>
      <c r="EHB79" s="278" t="inlineStr"/>
      <c r="EHC79" s="278" t="inlineStr"/>
      <c r="EHD79" s="278" t="inlineStr"/>
      <c r="EHE79" s="278" t="inlineStr"/>
      <c r="EHF79" s="278" t="inlineStr"/>
      <c r="EHG79" s="278" t="inlineStr"/>
      <c r="EHH79" s="278" t="inlineStr"/>
      <c r="EHI79" s="278" t="inlineStr"/>
      <c r="EHJ79" s="278" t="inlineStr"/>
      <c r="EHK79" s="278" t="inlineStr"/>
      <c r="EHL79" s="278" t="inlineStr"/>
      <c r="EHM79" s="278" t="inlineStr"/>
      <c r="EHN79" s="278" t="inlineStr"/>
      <c r="EHO79" s="278" t="inlineStr"/>
      <c r="EHP79" s="278" t="inlineStr"/>
      <c r="EHQ79" s="278" t="inlineStr"/>
      <c r="EHR79" s="278" t="inlineStr"/>
      <c r="EHS79" s="278" t="inlineStr"/>
      <c r="EHT79" s="278" t="inlineStr"/>
      <c r="EHU79" s="278" t="inlineStr"/>
      <c r="EHV79" s="278" t="inlineStr"/>
      <c r="EHW79" s="278" t="inlineStr"/>
      <c r="EHX79" s="278" t="inlineStr"/>
      <c r="EHY79" s="278" t="inlineStr"/>
      <c r="EHZ79" s="278" t="inlineStr"/>
      <c r="EIA79" s="278" t="inlineStr"/>
      <c r="EIB79" s="278" t="inlineStr"/>
      <c r="EIC79" s="278" t="inlineStr"/>
      <c r="EID79" s="278" t="inlineStr"/>
      <c r="EIE79" s="278" t="inlineStr"/>
      <c r="EIF79" s="278" t="inlineStr"/>
      <c r="EIG79" s="278" t="inlineStr"/>
      <c r="EIH79" s="278" t="inlineStr"/>
      <c r="EII79" s="278" t="inlineStr"/>
      <c r="EIJ79" s="278" t="inlineStr"/>
      <c r="EIK79" s="278" t="inlineStr"/>
      <c r="EIL79" s="278" t="inlineStr"/>
      <c r="EIM79" s="278" t="inlineStr"/>
      <c r="EIN79" s="278" t="inlineStr"/>
      <c r="EIO79" s="278" t="inlineStr"/>
      <c r="EIP79" s="278" t="inlineStr"/>
      <c r="EIQ79" s="278" t="inlineStr"/>
      <c r="EIR79" s="278" t="inlineStr"/>
      <c r="EIS79" s="278" t="inlineStr"/>
      <c r="EIT79" s="278" t="inlineStr"/>
      <c r="EIU79" s="278" t="inlineStr"/>
      <c r="EIV79" s="278" t="inlineStr"/>
      <c r="EIW79" s="278" t="inlineStr"/>
      <c r="EIX79" s="278" t="inlineStr"/>
      <c r="EIY79" s="278" t="inlineStr"/>
      <c r="EIZ79" s="278" t="inlineStr"/>
      <c r="EJA79" s="278" t="inlineStr"/>
      <c r="EJB79" s="278" t="inlineStr"/>
      <c r="EJC79" s="278" t="inlineStr"/>
      <c r="EJD79" s="278" t="inlineStr"/>
      <c r="EJE79" s="278" t="inlineStr"/>
      <c r="EJF79" s="278" t="inlineStr"/>
      <c r="EJG79" s="278" t="inlineStr"/>
      <c r="EJH79" s="278" t="inlineStr"/>
      <c r="EJI79" s="278" t="inlineStr"/>
      <c r="EJJ79" s="278" t="inlineStr"/>
      <c r="EJK79" s="278" t="inlineStr"/>
      <c r="EJL79" s="278" t="inlineStr"/>
      <c r="EJM79" s="278" t="inlineStr"/>
      <c r="EJN79" s="278" t="inlineStr"/>
      <c r="EJO79" s="278" t="inlineStr"/>
      <c r="EJP79" s="278" t="inlineStr"/>
      <c r="EJQ79" s="278" t="inlineStr"/>
      <c r="EJR79" s="278" t="inlineStr"/>
      <c r="EJS79" s="278" t="inlineStr"/>
      <c r="EJT79" s="278" t="inlineStr"/>
      <c r="EJU79" s="278" t="inlineStr"/>
      <c r="EJV79" s="278" t="inlineStr"/>
      <c r="EJW79" s="278" t="inlineStr"/>
      <c r="EJX79" s="278" t="inlineStr"/>
      <c r="EJY79" s="278" t="inlineStr"/>
      <c r="EJZ79" s="278" t="inlineStr"/>
      <c r="EKA79" s="278" t="inlineStr"/>
      <c r="EKB79" s="278" t="inlineStr"/>
      <c r="EKC79" s="278" t="inlineStr"/>
      <c r="EKD79" s="278" t="inlineStr"/>
      <c r="EKE79" s="278" t="inlineStr"/>
      <c r="EKF79" s="278" t="inlineStr"/>
      <c r="EKG79" s="278" t="inlineStr"/>
      <c r="EKH79" s="278" t="inlineStr"/>
      <c r="EKI79" s="278" t="inlineStr"/>
      <c r="EKJ79" s="278" t="inlineStr"/>
      <c r="EKK79" s="278" t="inlineStr"/>
      <c r="EKL79" s="278" t="inlineStr"/>
      <c r="EKM79" s="278" t="inlineStr"/>
      <c r="EKN79" s="278" t="inlineStr"/>
      <c r="EKO79" s="278" t="inlineStr"/>
      <c r="EKP79" s="278" t="inlineStr"/>
      <c r="EKQ79" s="278" t="inlineStr"/>
      <c r="EKR79" s="278" t="inlineStr"/>
      <c r="EKS79" s="278" t="inlineStr"/>
      <c r="EKT79" s="278" t="inlineStr"/>
      <c r="EKU79" s="278" t="inlineStr"/>
      <c r="EKV79" s="278" t="inlineStr"/>
      <c r="EKW79" s="278" t="inlineStr"/>
      <c r="EKX79" s="278" t="inlineStr"/>
      <c r="EKY79" s="278" t="inlineStr"/>
      <c r="EKZ79" s="278" t="inlineStr"/>
      <c r="ELA79" s="278" t="inlineStr"/>
      <c r="ELB79" s="278" t="inlineStr"/>
      <c r="ELC79" s="278" t="inlineStr"/>
      <c r="ELD79" s="278" t="inlineStr"/>
      <c r="ELE79" s="278" t="inlineStr"/>
      <c r="ELF79" s="278" t="inlineStr"/>
      <c r="ELG79" s="278" t="inlineStr"/>
      <c r="ELH79" s="278" t="inlineStr"/>
      <c r="ELI79" s="278" t="inlineStr"/>
      <c r="ELJ79" s="278" t="inlineStr"/>
      <c r="ELK79" s="278" t="inlineStr"/>
      <c r="ELL79" s="278" t="inlineStr"/>
      <c r="ELM79" s="278" t="inlineStr"/>
      <c r="ELN79" s="278" t="inlineStr"/>
      <c r="ELO79" s="278" t="inlineStr"/>
      <c r="ELP79" s="278" t="inlineStr"/>
      <c r="ELQ79" s="278" t="inlineStr"/>
      <c r="ELR79" s="278" t="inlineStr"/>
      <c r="ELS79" s="278" t="inlineStr"/>
      <c r="ELT79" s="278" t="inlineStr"/>
      <c r="ELU79" s="278" t="inlineStr"/>
      <c r="ELV79" s="278" t="inlineStr"/>
      <c r="ELW79" s="278" t="inlineStr"/>
      <c r="ELX79" s="278" t="inlineStr"/>
      <c r="ELY79" s="278" t="inlineStr"/>
      <c r="ELZ79" s="278" t="inlineStr"/>
      <c r="EMA79" s="278" t="inlineStr"/>
      <c r="EMB79" s="278" t="inlineStr"/>
      <c r="EMC79" s="278" t="inlineStr"/>
      <c r="EMD79" s="278" t="inlineStr"/>
      <c r="EME79" s="278" t="inlineStr"/>
      <c r="EMF79" s="278" t="inlineStr"/>
      <c r="EMG79" s="278" t="inlineStr"/>
      <c r="EMH79" s="278" t="inlineStr"/>
      <c r="EMI79" s="278" t="inlineStr"/>
      <c r="EMJ79" s="278" t="inlineStr"/>
      <c r="EMK79" s="278" t="inlineStr"/>
      <c r="EML79" s="278" t="inlineStr"/>
      <c r="EMM79" s="278" t="inlineStr"/>
      <c r="EMN79" s="278" t="inlineStr"/>
      <c r="EMO79" s="278" t="inlineStr"/>
      <c r="EMP79" s="278" t="inlineStr"/>
      <c r="EMQ79" s="278" t="inlineStr"/>
      <c r="EMR79" s="278" t="inlineStr"/>
      <c r="EMS79" s="278" t="inlineStr"/>
      <c r="EMT79" s="278" t="inlineStr"/>
      <c r="EMU79" s="278" t="inlineStr"/>
      <c r="EMV79" s="278" t="inlineStr"/>
      <c r="EMW79" s="278" t="inlineStr"/>
      <c r="EMX79" s="278" t="inlineStr"/>
      <c r="EMY79" s="278" t="inlineStr"/>
      <c r="EMZ79" s="278" t="inlineStr"/>
      <c r="ENA79" s="278" t="inlineStr"/>
      <c r="ENB79" s="278" t="inlineStr"/>
      <c r="ENC79" s="278" t="inlineStr"/>
      <c r="END79" s="278" t="inlineStr"/>
      <c r="ENE79" s="278" t="inlineStr"/>
      <c r="ENF79" s="278" t="inlineStr"/>
      <c r="ENG79" s="278" t="inlineStr"/>
      <c r="ENH79" s="278" t="inlineStr"/>
      <c r="ENI79" s="278" t="inlineStr"/>
      <c r="ENJ79" s="278" t="inlineStr"/>
      <c r="ENK79" s="278" t="inlineStr"/>
      <c r="ENL79" s="278" t="inlineStr"/>
      <c r="ENM79" s="278" t="inlineStr"/>
      <c r="ENN79" s="278" t="inlineStr"/>
      <c r="ENO79" s="278" t="inlineStr"/>
      <c r="ENP79" s="278" t="inlineStr"/>
      <c r="ENQ79" s="278" t="inlineStr"/>
      <c r="ENR79" s="278" t="inlineStr"/>
      <c r="ENS79" s="278" t="inlineStr"/>
      <c r="ENT79" s="278" t="inlineStr"/>
      <c r="ENU79" s="278" t="inlineStr"/>
      <c r="ENV79" s="278" t="inlineStr"/>
      <c r="ENW79" s="278" t="inlineStr"/>
      <c r="ENX79" s="278" t="inlineStr"/>
      <c r="ENY79" s="278" t="inlineStr"/>
      <c r="ENZ79" s="278" t="inlineStr"/>
      <c r="EOA79" s="278" t="inlineStr"/>
      <c r="EOB79" s="278" t="inlineStr"/>
      <c r="EOC79" s="278" t="inlineStr"/>
      <c r="EOD79" s="278" t="inlineStr"/>
      <c r="EOE79" s="278" t="inlineStr"/>
      <c r="EOF79" s="278" t="inlineStr"/>
      <c r="EOG79" s="278" t="inlineStr"/>
      <c r="EOH79" s="278" t="inlineStr"/>
      <c r="EOI79" s="278" t="inlineStr"/>
      <c r="EOJ79" s="278" t="inlineStr"/>
      <c r="EOK79" s="278" t="inlineStr"/>
      <c r="EOL79" s="278" t="inlineStr"/>
      <c r="EOM79" s="278" t="inlineStr"/>
      <c r="EON79" s="278" t="inlineStr"/>
      <c r="EOO79" s="278" t="inlineStr"/>
      <c r="EOP79" s="278" t="inlineStr"/>
      <c r="EOQ79" s="278" t="inlineStr"/>
      <c r="EOR79" s="278" t="inlineStr"/>
      <c r="EOS79" s="278" t="inlineStr"/>
      <c r="EOT79" s="278" t="inlineStr"/>
      <c r="EOU79" s="278" t="inlineStr"/>
      <c r="EOV79" s="278" t="inlineStr"/>
      <c r="EOW79" s="278" t="inlineStr"/>
      <c r="EOX79" s="278" t="inlineStr"/>
      <c r="EOY79" s="278" t="inlineStr"/>
      <c r="EOZ79" s="278" t="inlineStr"/>
      <c r="EPA79" s="278" t="inlineStr"/>
      <c r="EPB79" s="278" t="inlineStr"/>
      <c r="EPC79" s="278" t="inlineStr"/>
      <c r="EPD79" s="278" t="inlineStr"/>
      <c r="EPE79" s="278" t="inlineStr"/>
      <c r="EPF79" s="278" t="inlineStr"/>
      <c r="EPG79" s="278" t="inlineStr"/>
      <c r="EPH79" s="278" t="inlineStr"/>
      <c r="EPI79" s="278" t="inlineStr"/>
      <c r="EPJ79" s="278" t="inlineStr"/>
      <c r="EPK79" s="278" t="inlineStr"/>
      <c r="EPL79" s="278" t="inlineStr"/>
      <c r="EPM79" s="278" t="inlineStr"/>
      <c r="EPN79" s="278" t="inlineStr"/>
      <c r="EPO79" s="278" t="inlineStr"/>
      <c r="EPP79" s="278" t="inlineStr"/>
      <c r="EPQ79" s="278" t="inlineStr"/>
      <c r="EPR79" s="278" t="inlineStr"/>
      <c r="EPS79" s="278" t="inlineStr"/>
      <c r="EPT79" s="278" t="inlineStr"/>
      <c r="EPU79" s="278" t="inlineStr"/>
      <c r="EPV79" s="278" t="inlineStr"/>
      <c r="EPW79" s="278" t="inlineStr"/>
      <c r="EPX79" s="278" t="inlineStr"/>
      <c r="EPY79" s="278" t="inlineStr"/>
      <c r="EPZ79" s="278" t="inlineStr"/>
      <c r="EQA79" s="278" t="inlineStr"/>
      <c r="EQB79" s="278" t="inlineStr"/>
      <c r="EQC79" s="278" t="inlineStr"/>
      <c r="EQD79" s="278" t="inlineStr"/>
      <c r="EQE79" s="278" t="inlineStr"/>
      <c r="EQF79" s="278" t="inlineStr"/>
      <c r="EQG79" s="278" t="inlineStr"/>
      <c r="EQH79" s="278" t="inlineStr"/>
      <c r="EQI79" s="278" t="inlineStr"/>
      <c r="EQJ79" s="278" t="inlineStr"/>
      <c r="EQK79" s="278" t="inlineStr"/>
      <c r="EQL79" s="278" t="inlineStr"/>
      <c r="EQM79" s="278" t="inlineStr"/>
      <c r="EQN79" s="278" t="inlineStr"/>
      <c r="EQO79" s="278" t="inlineStr"/>
      <c r="EQP79" s="278" t="inlineStr"/>
      <c r="EQQ79" s="278" t="inlineStr"/>
      <c r="EQR79" s="278" t="inlineStr"/>
      <c r="EQS79" s="278" t="inlineStr"/>
      <c r="EQT79" s="278" t="inlineStr"/>
      <c r="EQU79" s="278" t="inlineStr"/>
      <c r="EQV79" s="278" t="inlineStr"/>
      <c r="EQW79" s="278" t="inlineStr"/>
      <c r="EQX79" s="278" t="inlineStr"/>
      <c r="EQY79" s="278" t="inlineStr"/>
      <c r="EQZ79" s="278" t="inlineStr"/>
      <c r="ERA79" s="278" t="inlineStr"/>
      <c r="ERB79" s="278" t="inlineStr"/>
      <c r="ERC79" s="278" t="inlineStr"/>
      <c r="ERD79" s="278" t="inlineStr"/>
      <c r="ERE79" s="278" t="inlineStr"/>
      <c r="ERF79" s="278" t="inlineStr"/>
      <c r="ERG79" s="278" t="inlineStr"/>
      <c r="ERH79" s="278" t="inlineStr"/>
      <c r="ERI79" s="278" t="inlineStr"/>
      <c r="ERJ79" s="278" t="inlineStr"/>
      <c r="ERK79" s="278" t="inlineStr"/>
      <c r="ERL79" s="278" t="inlineStr"/>
      <c r="ERM79" s="278" t="inlineStr"/>
      <c r="ERN79" s="278" t="inlineStr"/>
      <c r="ERO79" s="278" t="inlineStr"/>
      <c r="ERP79" s="278" t="inlineStr"/>
      <c r="ERQ79" s="278" t="inlineStr"/>
      <c r="ERR79" s="278" t="inlineStr"/>
      <c r="ERS79" s="278" t="inlineStr"/>
      <c r="ERT79" s="278" t="inlineStr"/>
      <c r="ERU79" s="278" t="inlineStr"/>
      <c r="ERV79" s="278" t="inlineStr"/>
      <c r="ERW79" s="278" t="inlineStr"/>
      <c r="ERX79" s="278" t="inlineStr"/>
      <c r="ERY79" s="278" t="inlineStr"/>
      <c r="ERZ79" s="278" t="inlineStr"/>
      <c r="ESA79" s="278" t="inlineStr"/>
      <c r="ESB79" s="278" t="inlineStr"/>
      <c r="ESC79" s="278" t="inlineStr"/>
      <c r="ESD79" s="278" t="inlineStr"/>
      <c r="ESE79" s="278" t="inlineStr"/>
      <c r="ESF79" s="278" t="inlineStr"/>
      <c r="ESG79" s="278" t="inlineStr"/>
      <c r="ESH79" s="278" t="inlineStr"/>
      <c r="ESI79" s="278" t="inlineStr"/>
      <c r="ESJ79" s="278" t="inlineStr"/>
      <c r="ESK79" s="278" t="inlineStr"/>
      <c r="ESL79" s="278" t="inlineStr"/>
      <c r="ESM79" s="278" t="inlineStr"/>
      <c r="ESN79" s="278" t="inlineStr"/>
      <c r="ESO79" s="278" t="inlineStr"/>
      <c r="ESP79" s="278" t="inlineStr"/>
      <c r="ESQ79" s="278" t="inlineStr"/>
      <c r="ESR79" s="278" t="inlineStr"/>
      <c r="ESS79" s="278" t="inlineStr"/>
      <c r="EST79" s="278" t="inlineStr"/>
      <c r="ESU79" s="278" t="inlineStr"/>
      <c r="ESV79" s="278" t="inlineStr"/>
      <c r="ESW79" s="278" t="inlineStr"/>
      <c r="ESX79" s="278" t="inlineStr"/>
      <c r="ESY79" s="278" t="inlineStr"/>
      <c r="ESZ79" s="278" t="inlineStr"/>
      <c r="ETA79" s="278" t="inlineStr"/>
      <c r="ETB79" s="278" t="inlineStr"/>
      <c r="ETC79" s="278" t="inlineStr"/>
      <c r="ETD79" s="278" t="inlineStr"/>
      <c r="ETE79" s="278" t="inlineStr"/>
      <c r="ETF79" s="278" t="inlineStr"/>
      <c r="ETG79" s="278" t="inlineStr"/>
      <c r="ETH79" s="278" t="inlineStr"/>
      <c r="ETI79" s="278" t="inlineStr"/>
      <c r="ETJ79" s="278" t="inlineStr"/>
      <c r="ETK79" s="278" t="inlineStr"/>
      <c r="ETL79" s="278" t="inlineStr"/>
      <c r="ETM79" s="278" t="inlineStr"/>
      <c r="ETN79" s="278" t="inlineStr"/>
      <c r="ETO79" s="278" t="inlineStr"/>
      <c r="ETP79" s="278" t="inlineStr"/>
      <c r="ETQ79" s="278" t="inlineStr"/>
      <c r="ETR79" s="278" t="inlineStr"/>
      <c r="ETS79" s="278" t="inlineStr"/>
      <c r="ETT79" s="278" t="inlineStr"/>
      <c r="ETU79" s="278" t="inlineStr"/>
      <c r="ETV79" s="278" t="inlineStr"/>
      <c r="ETW79" s="278" t="inlineStr"/>
      <c r="ETX79" s="278" t="inlineStr"/>
      <c r="ETY79" s="278" t="inlineStr"/>
      <c r="ETZ79" s="278" t="inlineStr"/>
      <c r="EUA79" s="278" t="inlineStr"/>
      <c r="EUB79" s="278" t="inlineStr"/>
      <c r="EUC79" s="278" t="inlineStr"/>
      <c r="EUD79" s="278" t="inlineStr"/>
      <c r="EUE79" s="278" t="inlineStr"/>
      <c r="EUF79" s="278" t="inlineStr"/>
      <c r="EUG79" s="278" t="inlineStr"/>
      <c r="EUH79" s="278" t="inlineStr"/>
      <c r="EUI79" s="278" t="inlineStr"/>
      <c r="EUJ79" s="278" t="inlineStr"/>
      <c r="EUK79" s="278" t="inlineStr"/>
      <c r="EUL79" s="278" t="inlineStr"/>
      <c r="EUM79" s="278" t="inlineStr"/>
      <c r="EUN79" s="278" t="inlineStr"/>
      <c r="EUO79" s="278" t="inlineStr"/>
      <c r="EUP79" s="278" t="inlineStr"/>
      <c r="EUQ79" s="278" t="inlineStr"/>
      <c r="EUR79" s="278" t="inlineStr"/>
      <c r="EUS79" s="278" t="inlineStr"/>
      <c r="EUT79" s="278" t="inlineStr"/>
      <c r="EUU79" s="278" t="inlineStr"/>
      <c r="EUV79" s="278" t="inlineStr"/>
      <c r="EUW79" s="278" t="inlineStr"/>
      <c r="EUX79" s="278" t="inlineStr"/>
      <c r="EUY79" s="278" t="inlineStr"/>
      <c r="EUZ79" s="278" t="inlineStr"/>
      <c r="EVA79" s="278" t="inlineStr"/>
      <c r="EVB79" s="278" t="inlineStr"/>
      <c r="EVC79" s="278" t="inlineStr"/>
      <c r="EVD79" s="278" t="inlineStr"/>
      <c r="EVE79" s="278" t="inlineStr"/>
      <c r="EVF79" s="278" t="inlineStr"/>
      <c r="EVG79" s="278" t="inlineStr"/>
      <c r="EVH79" s="278" t="inlineStr"/>
      <c r="EVI79" s="278" t="inlineStr"/>
      <c r="EVJ79" s="278" t="inlineStr"/>
      <c r="EVK79" s="278" t="inlineStr"/>
      <c r="EVL79" s="278" t="inlineStr"/>
      <c r="EVM79" s="278" t="inlineStr"/>
      <c r="EVN79" s="278" t="inlineStr"/>
      <c r="EVO79" s="278" t="inlineStr"/>
      <c r="EVP79" s="278" t="inlineStr"/>
      <c r="EVQ79" s="278" t="inlineStr"/>
      <c r="EVR79" s="278" t="inlineStr"/>
      <c r="EVS79" s="278" t="inlineStr"/>
      <c r="EVT79" s="278" t="inlineStr"/>
      <c r="EVU79" s="278" t="inlineStr"/>
      <c r="EVV79" s="278" t="inlineStr"/>
      <c r="EVW79" s="278" t="inlineStr"/>
      <c r="EVX79" s="278" t="inlineStr"/>
      <c r="EVY79" s="278" t="inlineStr"/>
      <c r="EVZ79" s="278" t="inlineStr"/>
      <c r="EWA79" s="278" t="inlineStr"/>
      <c r="EWB79" s="278" t="inlineStr"/>
      <c r="EWC79" s="278" t="inlineStr"/>
      <c r="EWD79" s="278" t="inlineStr"/>
      <c r="EWE79" s="278" t="inlineStr"/>
      <c r="EWF79" s="278" t="inlineStr"/>
      <c r="EWG79" s="278" t="inlineStr"/>
      <c r="EWH79" s="278" t="inlineStr"/>
      <c r="EWI79" s="278" t="inlineStr"/>
      <c r="EWJ79" s="278" t="inlineStr"/>
      <c r="EWK79" s="278" t="inlineStr"/>
      <c r="EWL79" s="278" t="inlineStr"/>
      <c r="EWM79" s="278" t="inlineStr"/>
      <c r="EWN79" s="278" t="inlineStr"/>
      <c r="EWO79" s="278" t="inlineStr"/>
      <c r="EWP79" s="278" t="inlineStr"/>
      <c r="EWQ79" s="278" t="inlineStr"/>
      <c r="EWR79" s="278" t="inlineStr"/>
      <c r="EWS79" s="278" t="inlineStr"/>
      <c r="EWT79" s="278" t="inlineStr"/>
      <c r="EWU79" s="278" t="inlineStr"/>
      <c r="EWV79" s="278" t="inlineStr"/>
      <c r="EWW79" s="278" t="inlineStr"/>
      <c r="EWX79" s="278" t="inlineStr"/>
      <c r="EWY79" s="278" t="inlineStr"/>
      <c r="EWZ79" s="278" t="inlineStr"/>
      <c r="EXA79" s="278" t="inlineStr"/>
      <c r="EXB79" s="278" t="inlineStr"/>
      <c r="EXC79" s="278" t="inlineStr"/>
      <c r="EXD79" s="278" t="inlineStr"/>
      <c r="EXE79" s="278" t="inlineStr"/>
      <c r="EXF79" s="278" t="inlineStr"/>
      <c r="EXG79" s="278" t="inlineStr"/>
      <c r="EXH79" s="278" t="inlineStr"/>
      <c r="EXI79" s="278" t="inlineStr"/>
      <c r="EXJ79" s="278" t="inlineStr"/>
      <c r="EXK79" s="278" t="inlineStr"/>
      <c r="EXL79" s="278" t="inlineStr"/>
      <c r="EXM79" s="278" t="inlineStr"/>
      <c r="EXN79" s="278" t="inlineStr"/>
      <c r="EXO79" s="278" t="inlineStr"/>
      <c r="EXP79" s="278" t="inlineStr"/>
      <c r="EXQ79" s="278" t="inlineStr"/>
      <c r="EXR79" s="278" t="inlineStr"/>
      <c r="EXS79" s="278" t="inlineStr"/>
      <c r="EXT79" s="278" t="inlineStr"/>
      <c r="EXU79" s="278" t="inlineStr"/>
      <c r="EXV79" s="278" t="inlineStr"/>
      <c r="EXW79" s="278" t="inlineStr"/>
      <c r="EXX79" s="278" t="inlineStr"/>
      <c r="EXY79" s="278" t="inlineStr"/>
      <c r="EXZ79" s="278" t="inlineStr"/>
      <c r="EYA79" s="278" t="inlineStr"/>
      <c r="EYB79" s="278" t="inlineStr"/>
      <c r="EYC79" s="278" t="inlineStr"/>
      <c r="EYD79" s="278" t="inlineStr"/>
      <c r="EYE79" s="278" t="inlineStr"/>
      <c r="EYF79" s="278" t="inlineStr"/>
      <c r="EYG79" s="278" t="inlineStr"/>
      <c r="EYH79" s="278" t="inlineStr"/>
      <c r="EYI79" s="278" t="inlineStr"/>
      <c r="EYJ79" s="278" t="inlineStr"/>
      <c r="EYK79" s="278" t="inlineStr"/>
      <c r="EYL79" s="278" t="inlineStr"/>
      <c r="EYM79" s="278" t="inlineStr"/>
      <c r="EYN79" s="278" t="inlineStr"/>
      <c r="EYO79" s="278" t="inlineStr"/>
      <c r="EYP79" s="278" t="inlineStr"/>
      <c r="EYQ79" s="278" t="inlineStr"/>
      <c r="EYR79" s="278" t="inlineStr"/>
      <c r="EYS79" s="278" t="inlineStr"/>
      <c r="EYT79" s="278" t="inlineStr"/>
      <c r="EYU79" s="278" t="inlineStr"/>
      <c r="EYV79" s="278" t="inlineStr"/>
      <c r="EYW79" s="278" t="inlineStr"/>
      <c r="EYX79" s="278" t="inlineStr"/>
      <c r="EYY79" s="278" t="inlineStr"/>
      <c r="EYZ79" s="278" t="inlineStr"/>
      <c r="EZA79" s="278" t="inlineStr"/>
      <c r="EZB79" s="278" t="inlineStr"/>
      <c r="EZC79" s="278" t="inlineStr"/>
      <c r="EZD79" s="278" t="inlineStr"/>
      <c r="EZE79" s="278" t="inlineStr"/>
      <c r="EZF79" s="278" t="inlineStr"/>
      <c r="EZG79" s="278" t="inlineStr"/>
      <c r="EZH79" s="278" t="inlineStr"/>
      <c r="EZI79" s="278" t="inlineStr"/>
      <c r="EZJ79" s="278" t="inlineStr"/>
      <c r="EZK79" s="278" t="inlineStr"/>
      <c r="EZL79" s="278" t="inlineStr"/>
      <c r="EZM79" s="278" t="inlineStr"/>
      <c r="EZN79" s="278" t="inlineStr"/>
      <c r="EZO79" s="278" t="inlineStr"/>
      <c r="EZP79" s="278" t="inlineStr"/>
      <c r="EZQ79" s="278" t="inlineStr"/>
      <c r="EZR79" s="278" t="inlineStr"/>
      <c r="EZS79" s="278" t="inlineStr"/>
      <c r="EZT79" s="278" t="inlineStr"/>
      <c r="EZU79" s="278" t="inlineStr"/>
      <c r="EZV79" s="278" t="inlineStr"/>
      <c r="EZW79" s="278" t="inlineStr"/>
      <c r="EZX79" s="278" t="inlineStr"/>
      <c r="EZY79" s="278" t="inlineStr"/>
      <c r="EZZ79" s="278" t="inlineStr"/>
      <c r="FAA79" s="278" t="inlineStr"/>
      <c r="FAB79" s="278" t="inlineStr"/>
      <c r="FAC79" s="278" t="inlineStr"/>
      <c r="FAD79" s="278" t="inlineStr"/>
      <c r="FAE79" s="278" t="inlineStr"/>
      <c r="FAF79" s="278" t="inlineStr"/>
      <c r="FAG79" s="278" t="inlineStr"/>
      <c r="FAH79" s="278" t="inlineStr"/>
      <c r="FAI79" s="278" t="inlineStr"/>
      <c r="FAJ79" s="278" t="inlineStr"/>
      <c r="FAK79" s="278" t="inlineStr"/>
      <c r="FAL79" s="278" t="inlineStr"/>
      <c r="FAM79" s="278" t="inlineStr"/>
      <c r="FAN79" s="278" t="inlineStr"/>
      <c r="FAO79" s="278" t="inlineStr"/>
      <c r="FAP79" s="278" t="inlineStr"/>
      <c r="FAQ79" s="278" t="inlineStr"/>
      <c r="FAR79" s="278" t="inlineStr"/>
      <c r="FAS79" s="278" t="inlineStr"/>
      <c r="FAT79" s="278" t="inlineStr"/>
      <c r="FAU79" s="278" t="inlineStr"/>
      <c r="FAV79" s="278" t="inlineStr"/>
      <c r="FAW79" s="278" t="inlineStr"/>
      <c r="FAX79" s="278" t="inlineStr"/>
      <c r="FAY79" s="278" t="inlineStr"/>
      <c r="FAZ79" s="278" t="inlineStr"/>
      <c r="FBA79" s="278" t="inlineStr"/>
      <c r="FBB79" s="278" t="inlineStr"/>
      <c r="FBC79" s="278" t="inlineStr"/>
      <c r="FBD79" s="278" t="inlineStr"/>
      <c r="FBE79" s="278" t="inlineStr"/>
      <c r="FBF79" s="278" t="inlineStr"/>
      <c r="FBG79" s="278" t="inlineStr"/>
      <c r="FBH79" s="278" t="inlineStr"/>
      <c r="FBI79" s="278" t="inlineStr"/>
      <c r="FBJ79" s="278" t="inlineStr"/>
      <c r="FBK79" s="278" t="inlineStr"/>
      <c r="FBL79" s="278" t="inlineStr"/>
      <c r="FBM79" s="278" t="inlineStr"/>
      <c r="FBN79" s="278" t="inlineStr"/>
      <c r="FBO79" s="278" t="inlineStr"/>
      <c r="FBP79" s="278" t="inlineStr"/>
      <c r="FBQ79" s="278" t="inlineStr"/>
      <c r="FBR79" s="278" t="inlineStr"/>
      <c r="FBS79" s="278" t="inlineStr"/>
      <c r="FBT79" s="278" t="inlineStr"/>
      <c r="FBU79" s="278" t="inlineStr"/>
      <c r="FBV79" s="278" t="inlineStr"/>
      <c r="FBW79" s="278" t="inlineStr"/>
      <c r="FBX79" s="278" t="inlineStr"/>
      <c r="FBY79" s="278" t="inlineStr"/>
      <c r="FBZ79" s="278" t="inlineStr"/>
      <c r="FCA79" s="278" t="inlineStr"/>
      <c r="FCB79" s="278" t="inlineStr"/>
      <c r="FCC79" s="278" t="inlineStr"/>
      <c r="FCD79" s="278" t="inlineStr"/>
      <c r="FCE79" s="278" t="inlineStr"/>
      <c r="FCF79" s="278" t="inlineStr"/>
      <c r="FCG79" s="278" t="inlineStr"/>
      <c r="FCH79" s="278" t="inlineStr"/>
      <c r="FCI79" s="278" t="inlineStr"/>
      <c r="FCJ79" s="278" t="inlineStr"/>
      <c r="FCK79" s="278" t="inlineStr"/>
      <c r="FCL79" s="278" t="inlineStr"/>
      <c r="FCM79" s="278" t="inlineStr"/>
      <c r="FCN79" s="278" t="inlineStr"/>
      <c r="FCO79" s="278" t="inlineStr"/>
      <c r="FCP79" s="278" t="inlineStr"/>
      <c r="FCQ79" s="278" t="inlineStr"/>
      <c r="FCR79" s="278" t="inlineStr"/>
      <c r="FCS79" s="278" t="inlineStr"/>
      <c r="FCT79" s="278" t="inlineStr"/>
      <c r="FCU79" s="278" t="inlineStr"/>
      <c r="FCV79" s="278" t="inlineStr"/>
      <c r="FCW79" s="278" t="inlineStr"/>
      <c r="FCX79" s="278" t="inlineStr"/>
      <c r="FCY79" s="278" t="inlineStr"/>
      <c r="FCZ79" s="278" t="inlineStr"/>
      <c r="FDA79" s="278" t="inlineStr"/>
      <c r="FDB79" s="278" t="inlineStr"/>
      <c r="FDC79" s="278" t="inlineStr"/>
      <c r="FDD79" s="278" t="inlineStr"/>
      <c r="FDE79" s="278" t="inlineStr"/>
      <c r="FDF79" s="278" t="inlineStr"/>
      <c r="FDG79" s="278" t="inlineStr"/>
      <c r="FDH79" s="278" t="inlineStr"/>
      <c r="FDI79" s="278" t="inlineStr"/>
      <c r="FDJ79" s="278" t="inlineStr"/>
      <c r="FDK79" s="278" t="inlineStr"/>
      <c r="FDL79" s="278" t="inlineStr"/>
      <c r="FDM79" s="278" t="inlineStr"/>
      <c r="FDN79" s="278" t="inlineStr"/>
      <c r="FDO79" s="278" t="inlineStr"/>
      <c r="FDP79" s="278" t="inlineStr"/>
      <c r="FDQ79" s="278" t="inlineStr"/>
      <c r="FDR79" s="278" t="inlineStr"/>
      <c r="FDS79" s="278" t="inlineStr"/>
      <c r="FDT79" s="278" t="inlineStr"/>
      <c r="FDU79" s="278" t="inlineStr"/>
      <c r="FDV79" s="278" t="inlineStr"/>
      <c r="FDW79" s="278" t="inlineStr"/>
      <c r="FDX79" s="278" t="inlineStr"/>
      <c r="FDY79" s="278" t="inlineStr"/>
      <c r="FDZ79" s="278" t="inlineStr"/>
      <c r="FEA79" s="278" t="inlineStr"/>
      <c r="FEB79" s="278" t="inlineStr"/>
      <c r="FEC79" s="278" t="inlineStr"/>
      <c r="FED79" s="278" t="inlineStr"/>
      <c r="FEE79" s="278" t="inlineStr"/>
      <c r="FEF79" s="278" t="inlineStr"/>
      <c r="FEG79" s="278" t="inlineStr"/>
      <c r="FEH79" s="278" t="inlineStr"/>
      <c r="FEI79" s="278" t="inlineStr"/>
      <c r="FEJ79" s="278" t="inlineStr"/>
      <c r="FEK79" s="278" t="inlineStr"/>
      <c r="FEL79" s="278" t="inlineStr"/>
      <c r="FEM79" s="278" t="inlineStr"/>
      <c r="FEN79" s="278" t="inlineStr"/>
      <c r="FEO79" s="278" t="inlineStr"/>
      <c r="FEP79" s="278" t="inlineStr"/>
      <c r="FEQ79" s="278" t="inlineStr"/>
      <c r="FER79" s="278" t="inlineStr"/>
      <c r="FES79" s="278" t="inlineStr"/>
      <c r="FET79" s="278" t="inlineStr"/>
      <c r="FEU79" s="278" t="inlineStr"/>
      <c r="FEV79" s="278" t="inlineStr"/>
      <c r="FEW79" s="278" t="inlineStr"/>
      <c r="FEX79" s="278" t="inlineStr"/>
      <c r="FEY79" s="278" t="inlineStr"/>
      <c r="FEZ79" s="278" t="inlineStr"/>
      <c r="FFA79" s="278" t="inlineStr"/>
      <c r="FFB79" s="278" t="inlineStr"/>
      <c r="FFC79" s="278" t="inlineStr"/>
      <c r="FFD79" s="278" t="inlineStr"/>
      <c r="FFE79" s="278" t="inlineStr"/>
      <c r="FFF79" s="278" t="inlineStr"/>
      <c r="FFG79" s="278" t="inlineStr"/>
      <c r="FFH79" s="278" t="inlineStr"/>
      <c r="FFI79" s="278" t="inlineStr"/>
      <c r="FFJ79" s="278" t="inlineStr"/>
      <c r="FFK79" s="278" t="inlineStr"/>
      <c r="FFL79" s="278" t="inlineStr"/>
      <c r="FFM79" s="278" t="inlineStr"/>
      <c r="FFN79" s="278" t="inlineStr"/>
      <c r="FFO79" s="278" t="inlineStr"/>
      <c r="FFP79" s="278" t="inlineStr"/>
      <c r="FFQ79" s="278" t="inlineStr"/>
      <c r="FFR79" s="278" t="inlineStr"/>
      <c r="FFS79" s="278" t="inlineStr"/>
      <c r="FFT79" s="278" t="inlineStr"/>
      <c r="FFU79" s="278" t="inlineStr"/>
      <c r="FFV79" s="278" t="inlineStr"/>
      <c r="FFW79" s="278" t="inlineStr"/>
      <c r="FFX79" s="278" t="inlineStr"/>
      <c r="FFY79" s="278" t="inlineStr"/>
      <c r="FFZ79" s="278" t="inlineStr"/>
      <c r="FGA79" s="278" t="inlineStr"/>
      <c r="FGB79" s="278" t="inlineStr"/>
      <c r="FGC79" s="278" t="inlineStr"/>
      <c r="FGD79" s="278" t="inlineStr"/>
      <c r="FGE79" s="278" t="inlineStr"/>
      <c r="FGF79" s="278" t="inlineStr"/>
      <c r="FGG79" s="278" t="inlineStr"/>
      <c r="FGH79" s="278" t="inlineStr"/>
      <c r="FGI79" s="278" t="inlineStr"/>
      <c r="FGJ79" s="278" t="inlineStr"/>
      <c r="FGK79" s="278" t="inlineStr"/>
      <c r="FGL79" s="278" t="inlineStr"/>
      <c r="FGM79" s="278" t="inlineStr"/>
      <c r="FGN79" s="278" t="inlineStr"/>
      <c r="FGO79" s="278" t="inlineStr"/>
      <c r="FGP79" s="278" t="inlineStr"/>
      <c r="FGQ79" s="278" t="inlineStr"/>
      <c r="FGR79" s="278" t="inlineStr"/>
      <c r="FGS79" s="278" t="inlineStr"/>
      <c r="FGT79" s="278" t="inlineStr"/>
      <c r="FGU79" s="278" t="inlineStr"/>
      <c r="FGV79" s="278" t="inlineStr"/>
      <c r="FGW79" s="278" t="inlineStr"/>
      <c r="FGX79" s="278" t="inlineStr"/>
      <c r="FGY79" s="278" t="inlineStr"/>
      <c r="FGZ79" s="278" t="inlineStr"/>
      <c r="FHA79" s="278" t="inlineStr"/>
      <c r="FHB79" s="278" t="inlineStr"/>
      <c r="FHC79" s="278" t="inlineStr"/>
      <c r="FHD79" s="278" t="inlineStr"/>
      <c r="FHE79" s="278" t="inlineStr"/>
      <c r="FHF79" s="278" t="inlineStr"/>
      <c r="FHG79" s="278" t="inlineStr"/>
      <c r="FHH79" s="278" t="inlineStr"/>
      <c r="FHI79" s="278" t="inlineStr"/>
      <c r="FHJ79" s="278" t="inlineStr"/>
      <c r="FHK79" s="278" t="inlineStr"/>
      <c r="FHL79" s="278" t="inlineStr"/>
      <c r="FHM79" s="278" t="inlineStr"/>
      <c r="FHN79" s="278" t="inlineStr"/>
      <c r="FHO79" s="278" t="inlineStr"/>
      <c r="FHP79" s="278" t="inlineStr"/>
      <c r="FHQ79" s="278" t="inlineStr"/>
      <c r="FHR79" s="278" t="inlineStr"/>
      <c r="FHS79" s="278" t="inlineStr"/>
      <c r="FHT79" s="278" t="inlineStr"/>
      <c r="FHU79" s="278" t="inlineStr"/>
      <c r="FHV79" s="278" t="inlineStr"/>
      <c r="FHW79" s="278" t="inlineStr"/>
      <c r="FHX79" s="278" t="inlineStr"/>
      <c r="FHY79" s="278" t="inlineStr"/>
      <c r="FHZ79" s="278" t="inlineStr"/>
      <c r="FIA79" s="278" t="inlineStr"/>
      <c r="FIB79" s="278" t="inlineStr"/>
      <c r="FIC79" s="278" t="inlineStr"/>
      <c r="FID79" s="278" t="inlineStr"/>
      <c r="FIE79" s="278" t="inlineStr"/>
      <c r="FIF79" s="278" t="inlineStr"/>
      <c r="FIG79" s="278" t="inlineStr"/>
      <c r="FIH79" s="278" t="inlineStr"/>
      <c r="FII79" s="278" t="inlineStr"/>
      <c r="FIJ79" s="278" t="inlineStr"/>
      <c r="FIK79" s="278" t="inlineStr"/>
      <c r="FIL79" s="278" t="inlineStr"/>
      <c r="FIM79" s="278" t="inlineStr"/>
      <c r="FIN79" s="278" t="inlineStr"/>
      <c r="FIO79" s="278" t="inlineStr"/>
      <c r="FIP79" s="278" t="inlineStr"/>
      <c r="FIQ79" s="278" t="inlineStr"/>
      <c r="FIR79" s="278" t="inlineStr"/>
      <c r="FIS79" s="278" t="inlineStr"/>
      <c r="FIT79" s="278" t="inlineStr"/>
      <c r="FIU79" s="278" t="inlineStr"/>
      <c r="FIV79" s="278" t="inlineStr"/>
      <c r="FIW79" s="278" t="inlineStr"/>
      <c r="FIX79" s="278" t="inlineStr"/>
      <c r="FIY79" s="278" t="inlineStr"/>
      <c r="FIZ79" s="278" t="inlineStr"/>
      <c r="FJA79" s="278" t="inlineStr"/>
      <c r="FJB79" s="278" t="inlineStr"/>
      <c r="FJC79" s="278" t="inlineStr"/>
      <c r="FJD79" s="278" t="inlineStr"/>
      <c r="FJE79" s="278" t="inlineStr"/>
      <c r="FJF79" s="278" t="inlineStr"/>
      <c r="FJG79" s="278" t="inlineStr"/>
      <c r="FJH79" s="278" t="inlineStr"/>
      <c r="FJI79" s="278" t="inlineStr"/>
      <c r="FJJ79" s="278" t="inlineStr"/>
      <c r="FJK79" s="278" t="inlineStr"/>
      <c r="FJL79" s="278" t="inlineStr"/>
      <c r="FJM79" s="278" t="inlineStr"/>
      <c r="FJN79" s="278" t="inlineStr"/>
      <c r="FJO79" s="278" t="inlineStr"/>
      <c r="FJP79" s="278" t="inlineStr"/>
      <c r="FJQ79" s="278" t="inlineStr"/>
      <c r="FJR79" s="278" t="inlineStr"/>
      <c r="FJS79" s="278" t="inlineStr"/>
      <c r="FJT79" s="278" t="inlineStr"/>
      <c r="FJU79" s="278" t="inlineStr"/>
      <c r="FJV79" s="278" t="inlineStr"/>
      <c r="FJW79" s="278" t="inlineStr"/>
      <c r="FJX79" s="278" t="inlineStr"/>
      <c r="FJY79" s="278" t="inlineStr"/>
      <c r="FJZ79" s="278" t="inlineStr"/>
      <c r="FKA79" s="278" t="inlineStr"/>
      <c r="FKB79" s="278" t="inlineStr"/>
      <c r="FKC79" s="278" t="inlineStr"/>
      <c r="FKD79" s="278" t="inlineStr"/>
      <c r="FKE79" s="278" t="inlineStr"/>
      <c r="FKF79" s="278" t="inlineStr"/>
      <c r="FKG79" s="278" t="inlineStr"/>
      <c r="FKH79" s="278" t="inlineStr"/>
      <c r="FKI79" s="278" t="inlineStr"/>
      <c r="FKJ79" s="278" t="inlineStr"/>
      <c r="FKK79" s="278" t="inlineStr"/>
      <c r="FKL79" s="278" t="inlineStr"/>
      <c r="FKM79" s="278" t="inlineStr"/>
      <c r="FKN79" s="278" t="inlineStr"/>
      <c r="FKO79" s="278" t="inlineStr"/>
      <c r="FKP79" s="278" t="inlineStr"/>
      <c r="FKQ79" s="278" t="inlineStr"/>
      <c r="FKR79" s="278" t="inlineStr"/>
      <c r="FKS79" s="278" t="inlineStr"/>
      <c r="FKT79" s="278" t="inlineStr"/>
      <c r="FKU79" s="278" t="inlineStr"/>
      <c r="FKV79" s="278" t="inlineStr"/>
      <c r="FKW79" s="278" t="inlineStr"/>
      <c r="FKX79" s="278" t="inlineStr"/>
      <c r="FKY79" s="278" t="inlineStr"/>
      <c r="FKZ79" s="278" t="inlineStr"/>
      <c r="FLA79" s="278" t="inlineStr"/>
      <c r="FLB79" s="278" t="inlineStr"/>
      <c r="FLC79" s="278" t="inlineStr"/>
      <c r="FLD79" s="278" t="inlineStr"/>
      <c r="FLE79" s="278" t="inlineStr"/>
      <c r="FLF79" s="278" t="inlineStr"/>
      <c r="FLG79" s="278" t="inlineStr"/>
      <c r="FLH79" s="278" t="inlineStr"/>
      <c r="FLI79" s="278" t="inlineStr"/>
      <c r="FLJ79" s="278" t="inlineStr"/>
      <c r="FLK79" s="278" t="inlineStr"/>
      <c r="FLL79" s="278" t="inlineStr"/>
      <c r="FLM79" s="278" t="inlineStr"/>
      <c r="FLN79" s="278" t="inlineStr"/>
      <c r="FLO79" s="278" t="inlineStr"/>
      <c r="FLP79" s="278" t="inlineStr"/>
      <c r="FLQ79" s="278" t="inlineStr"/>
      <c r="FLR79" s="278" t="inlineStr"/>
      <c r="FLS79" s="278" t="inlineStr"/>
      <c r="FLT79" s="278" t="inlineStr"/>
      <c r="FLU79" s="278" t="inlineStr"/>
      <c r="FLV79" s="278" t="inlineStr"/>
      <c r="FLW79" s="278" t="inlineStr"/>
      <c r="FLX79" s="278" t="inlineStr"/>
      <c r="FLY79" s="278" t="inlineStr"/>
      <c r="FLZ79" s="278" t="inlineStr"/>
      <c r="FMA79" s="278" t="inlineStr"/>
      <c r="FMB79" s="278" t="inlineStr"/>
      <c r="FMC79" s="278" t="inlineStr"/>
      <c r="FMD79" s="278" t="inlineStr"/>
      <c r="FME79" s="278" t="inlineStr"/>
      <c r="FMF79" s="278" t="inlineStr"/>
      <c r="FMG79" s="278" t="inlineStr"/>
      <c r="FMH79" s="278" t="inlineStr"/>
      <c r="FMI79" s="278" t="inlineStr"/>
      <c r="FMJ79" s="278" t="inlineStr"/>
      <c r="FMK79" s="278" t="inlineStr"/>
      <c r="FML79" s="278" t="inlineStr"/>
      <c r="FMM79" s="278" t="inlineStr"/>
      <c r="FMN79" s="278" t="inlineStr"/>
      <c r="FMO79" s="278" t="inlineStr"/>
      <c r="FMP79" s="278" t="inlineStr"/>
      <c r="FMQ79" s="278" t="inlineStr"/>
      <c r="FMR79" s="278" t="inlineStr"/>
      <c r="FMS79" s="278" t="inlineStr"/>
      <c r="FMT79" s="278" t="inlineStr"/>
      <c r="FMU79" s="278" t="inlineStr"/>
      <c r="FMV79" s="278" t="inlineStr"/>
      <c r="FMW79" s="278" t="inlineStr"/>
      <c r="FMX79" s="278" t="inlineStr"/>
      <c r="FMY79" s="278" t="inlineStr"/>
      <c r="FMZ79" s="278" t="inlineStr"/>
      <c r="FNA79" s="278" t="inlineStr"/>
      <c r="FNB79" s="278" t="inlineStr"/>
      <c r="FNC79" s="278" t="inlineStr"/>
      <c r="FND79" s="278" t="inlineStr"/>
      <c r="FNE79" s="278" t="inlineStr"/>
      <c r="FNF79" s="278" t="inlineStr"/>
      <c r="FNG79" s="278" t="inlineStr"/>
      <c r="FNH79" s="278" t="inlineStr"/>
      <c r="FNI79" s="278" t="inlineStr"/>
      <c r="FNJ79" s="278" t="inlineStr"/>
      <c r="FNK79" s="278" t="inlineStr"/>
      <c r="FNL79" s="278" t="inlineStr"/>
      <c r="FNM79" s="278" t="inlineStr"/>
      <c r="FNN79" s="278" t="inlineStr"/>
      <c r="FNO79" s="278" t="inlineStr"/>
      <c r="FNP79" s="278" t="inlineStr"/>
      <c r="FNQ79" s="278" t="inlineStr"/>
      <c r="FNR79" s="278" t="inlineStr"/>
      <c r="FNS79" s="278" t="inlineStr"/>
      <c r="FNT79" s="278" t="inlineStr"/>
      <c r="FNU79" s="278" t="inlineStr"/>
      <c r="FNV79" s="278" t="inlineStr"/>
      <c r="FNW79" s="278" t="inlineStr"/>
      <c r="FNX79" s="278" t="inlineStr"/>
      <c r="FNY79" s="278" t="inlineStr"/>
      <c r="FNZ79" s="278" t="inlineStr"/>
      <c r="FOA79" s="278" t="inlineStr"/>
      <c r="FOB79" s="278" t="inlineStr"/>
      <c r="FOC79" s="278" t="inlineStr"/>
      <c r="FOD79" s="278" t="inlineStr"/>
      <c r="FOE79" s="278" t="inlineStr"/>
      <c r="FOF79" s="278" t="inlineStr"/>
      <c r="FOG79" s="278" t="inlineStr"/>
      <c r="FOH79" s="278" t="inlineStr"/>
      <c r="FOI79" s="278" t="inlineStr"/>
      <c r="FOJ79" s="278" t="inlineStr"/>
      <c r="FOK79" s="278" t="inlineStr"/>
      <c r="FOL79" s="278" t="inlineStr"/>
      <c r="FOM79" s="278" t="inlineStr"/>
      <c r="FON79" s="278" t="inlineStr"/>
      <c r="FOO79" s="278" t="inlineStr"/>
      <c r="FOP79" s="278" t="inlineStr"/>
      <c r="FOQ79" s="278" t="inlineStr"/>
      <c r="FOR79" s="278" t="inlineStr"/>
      <c r="FOS79" s="278" t="inlineStr"/>
      <c r="FOT79" s="278" t="inlineStr"/>
      <c r="FOU79" s="278" t="inlineStr"/>
      <c r="FOV79" s="278" t="inlineStr"/>
      <c r="FOW79" s="278" t="inlineStr"/>
      <c r="FOX79" s="278" t="inlineStr"/>
      <c r="FOY79" s="278" t="inlineStr"/>
      <c r="FOZ79" s="278" t="inlineStr"/>
      <c r="FPA79" s="278" t="inlineStr"/>
      <c r="FPB79" s="278" t="inlineStr"/>
      <c r="FPC79" s="278" t="inlineStr"/>
      <c r="FPD79" s="278" t="inlineStr"/>
      <c r="FPE79" s="278" t="inlineStr"/>
      <c r="FPF79" s="278" t="inlineStr"/>
      <c r="FPG79" s="278" t="inlineStr"/>
      <c r="FPH79" s="278" t="inlineStr"/>
      <c r="FPI79" s="278" t="inlineStr"/>
      <c r="FPJ79" s="278" t="inlineStr"/>
      <c r="FPK79" s="278" t="inlineStr"/>
      <c r="FPL79" s="278" t="inlineStr"/>
      <c r="FPM79" s="278" t="inlineStr"/>
      <c r="FPN79" s="278" t="inlineStr"/>
      <c r="FPO79" s="278" t="inlineStr"/>
      <c r="FPP79" s="278" t="inlineStr"/>
      <c r="FPQ79" s="278" t="inlineStr"/>
      <c r="FPR79" s="278" t="inlineStr"/>
      <c r="FPS79" s="278" t="inlineStr"/>
      <c r="FPT79" s="278" t="inlineStr"/>
      <c r="FPU79" s="278" t="inlineStr"/>
      <c r="FPV79" s="278" t="inlineStr"/>
      <c r="FPW79" s="278" t="inlineStr"/>
      <c r="FPX79" s="278" t="inlineStr"/>
      <c r="FPY79" s="278" t="inlineStr"/>
      <c r="FPZ79" s="278" t="inlineStr"/>
      <c r="FQA79" s="278" t="inlineStr"/>
      <c r="FQB79" s="278" t="inlineStr"/>
      <c r="FQC79" s="278" t="inlineStr"/>
      <c r="FQD79" s="278" t="inlineStr"/>
      <c r="FQE79" s="278" t="inlineStr"/>
      <c r="FQF79" s="278" t="inlineStr"/>
      <c r="FQG79" s="278" t="inlineStr"/>
      <c r="FQH79" s="278" t="inlineStr"/>
      <c r="FQI79" s="278" t="inlineStr"/>
      <c r="FQJ79" s="278" t="inlineStr"/>
      <c r="FQK79" s="278" t="inlineStr"/>
      <c r="FQL79" s="278" t="inlineStr"/>
      <c r="FQM79" s="278" t="inlineStr"/>
      <c r="FQN79" s="278" t="inlineStr"/>
      <c r="FQO79" s="278" t="inlineStr"/>
      <c r="FQP79" s="278" t="inlineStr"/>
      <c r="FQQ79" s="278" t="inlineStr"/>
      <c r="FQR79" s="278" t="inlineStr"/>
      <c r="FQS79" s="278" t="inlineStr"/>
      <c r="FQT79" s="278" t="inlineStr"/>
      <c r="FQU79" s="278" t="inlineStr"/>
      <c r="FQV79" s="278" t="inlineStr"/>
      <c r="FQW79" s="278" t="inlineStr"/>
      <c r="FQX79" s="278" t="inlineStr"/>
      <c r="FQY79" s="278" t="inlineStr"/>
      <c r="FQZ79" s="278" t="inlineStr"/>
      <c r="FRA79" s="278" t="inlineStr"/>
      <c r="FRB79" s="278" t="inlineStr"/>
      <c r="FRC79" s="278" t="inlineStr"/>
      <c r="FRD79" s="278" t="inlineStr"/>
      <c r="FRE79" s="278" t="inlineStr"/>
      <c r="FRF79" s="278" t="inlineStr"/>
      <c r="FRG79" s="278" t="inlineStr"/>
      <c r="FRH79" s="278" t="inlineStr"/>
      <c r="FRI79" s="278" t="inlineStr"/>
      <c r="FRJ79" s="278" t="inlineStr"/>
      <c r="FRK79" s="278" t="inlineStr"/>
      <c r="FRL79" s="278" t="inlineStr"/>
      <c r="FRM79" s="278" t="inlineStr"/>
      <c r="FRN79" s="278" t="inlineStr"/>
      <c r="FRO79" s="278" t="inlineStr"/>
      <c r="FRP79" s="278" t="inlineStr"/>
      <c r="FRQ79" s="278" t="inlineStr"/>
      <c r="FRR79" s="278" t="inlineStr"/>
      <c r="FRS79" s="278" t="inlineStr"/>
      <c r="FRT79" s="278" t="inlineStr"/>
      <c r="FRU79" s="278" t="inlineStr"/>
      <c r="FRV79" s="278" t="inlineStr"/>
      <c r="FRW79" s="278" t="inlineStr"/>
      <c r="FRX79" s="278" t="inlineStr"/>
      <c r="FRY79" s="278" t="inlineStr"/>
      <c r="FRZ79" s="278" t="inlineStr"/>
      <c r="FSA79" s="278" t="inlineStr"/>
      <c r="FSB79" s="278" t="inlineStr"/>
      <c r="FSC79" s="278" t="inlineStr"/>
      <c r="FSD79" s="278" t="inlineStr"/>
      <c r="FSE79" s="278" t="inlineStr"/>
      <c r="FSF79" s="278" t="inlineStr"/>
      <c r="FSG79" s="278" t="inlineStr"/>
      <c r="FSH79" s="278" t="inlineStr"/>
      <c r="FSI79" s="278" t="inlineStr"/>
      <c r="FSJ79" s="278" t="inlineStr"/>
      <c r="FSK79" s="278" t="inlineStr"/>
      <c r="FSL79" s="278" t="inlineStr"/>
      <c r="FSM79" s="278" t="inlineStr"/>
      <c r="FSN79" s="278" t="inlineStr"/>
      <c r="FSO79" s="278" t="inlineStr"/>
      <c r="FSP79" s="278" t="inlineStr"/>
      <c r="FSQ79" s="278" t="inlineStr"/>
      <c r="FSR79" s="278" t="inlineStr"/>
      <c r="FSS79" s="278" t="inlineStr"/>
      <c r="FST79" s="278" t="inlineStr"/>
      <c r="FSU79" s="278" t="inlineStr"/>
      <c r="FSV79" s="278" t="inlineStr"/>
      <c r="FSW79" s="278" t="inlineStr"/>
      <c r="FSX79" s="278" t="inlineStr"/>
      <c r="FSY79" s="278" t="inlineStr"/>
      <c r="FSZ79" s="278" t="inlineStr"/>
      <c r="FTA79" s="278" t="inlineStr"/>
      <c r="FTB79" s="278" t="inlineStr"/>
      <c r="FTC79" s="278" t="inlineStr"/>
      <c r="FTD79" s="278" t="inlineStr"/>
      <c r="FTE79" s="278" t="inlineStr"/>
      <c r="FTF79" s="278" t="inlineStr"/>
      <c r="FTG79" s="278" t="inlineStr"/>
      <c r="FTH79" s="278" t="inlineStr"/>
      <c r="FTI79" s="278" t="inlineStr"/>
      <c r="FTJ79" s="278" t="inlineStr"/>
      <c r="FTK79" s="278" t="inlineStr"/>
      <c r="FTL79" s="278" t="inlineStr"/>
      <c r="FTM79" s="278" t="inlineStr"/>
      <c r="FTN79" s="278" t="inlineStr"/>
      <c r="FTO79" s="278" t="inlineStr"/>
      <c r="FTP79" s="278" t="inlineStr"/>
      <c r="FTQ79" s="278" t="inlineStr"/>
      <c r="FTR79" s="278" t="inlineStr"/>
      <c r="FTS79" s="278" t="inlineStr"/>
      <c r="FTT79" s="278" t="inlineStr"/>
      <c r="FTU79" s="278" t="inlineStr"/>
      <c r="FTV79" s="278" t="inlineStr"/>
      <c r="FTW79" s="278" t="inlineStr"/>
      <c r="FTX79" s="278" t="inlineStr"/>
      <c r="FTY79" s="278" t="inlineStr"/>
      <c r="FTZ79" s="278" t="inlineStr"/>
      <c r="FUA79" s="278" t="inlineStr"/>
      <c r="FUB79" s="278" t="inlineStr"/>
      <c r="FUC79" s="278" t="inlineStr"/>
      <c r="FUD79" s="278" t="inlineStr"/>
      <c r="FUE79" s="278" t="inlineStr"/>
      <c r="FUF79" s="278" t="inlineStr"/>
      <c r="FUG79" s="278" t="inlineStr"/>
      <c r="FUH79" s="278" t="inlineStr"/>
      <c r="FUI79" s="278" t="inlineStr"/>
      <c r="FUJ79" s="278" t="inlineStr"/>
      <c r="FUK79" s="278" t="inlineStr"/>
      <c r="FUL79" s="278" t="inlineStr"/>
      <c r="FUM79" s="278" t="inlineStr"/>
      <c r="FUN79" s="278" t="inlineStr"/>
      <c r="FUO79" s="278" t="inlineStr"/>
      <c r="FUP79" s="278" t="inlineStr"/>
      <c r="FUQ79" s="278" t="inlineStr"/>
      <c r="FUR79" s="278" t="inlineStr"/>
      <c r="FUS79" s="278" t="inlineStr"/>
      <c r="FUT79" s="278" t="inlineStr"/>
      <c r="FUU79" s="278" t="inlineStr"/>
      <c r="FUV79" s="278" t="inlineStr"/>
      <c r="FUW79" s="278" t="inlineStr"/>
      <c r="FUX79" s="278" t="inlineStr"/>
      <c r="FUY79" s="278" t="inlineStr"/>
      <c r="FUZ79" s="278" t="inlineStr"/>
      <c r="FVA79" s="278" t="inlineStr"/>
      <c r="FVB79" s="278" t="inlineStr"/>
      <c r="FVC79" s="278" t="inlineStr"/>
      <c r="FVD79" s="278" t="inlineStr"/>
      <c r="FVE79" s="278" t="inlineStr"/>
      <c r="FVF79" s="278" t="inlineStr"/>
      <c r="FVG79" s="278" t="inlineStr"/>
      <c r="FVH79" s="278" t="inlineStr"/>
      <c r="FVI79" s="278" t="inlineStr"/>
      <c r="FVJ79" s="278" t="inlineStr"/>
      <c r="FVK79" s="278" t="inlineStr"/>
      <c r="FVL79" s="278" t="inlineStr"/>
      <c r="FVM79" s="278" t="inlineStr"/>
      <c r="FVN79" s="278" t="inlineStr"/>
      <c r="FVO79" s="278" t="inlineStr"/>
      <c r="FVP79" s="278" t="inlineStr"/>
      <c r="FVQ79" s="278" t="inlineStr"/>
      <c r="FVR79" s="278" t="inlineStr"/>
      <c r="FVS79" s="278" t="inlineStr"/>
      <c r="FVT79" s="278" t="inlineStr"/>
      <c r="FVU79" s="278" t="inlineStr"/>
      <c r="FVV79" s="278" t="inlineStr"/>
      <c r="FVW79" s="278" t="inlineStr"/>
      <c r="FVX79" s="278" t="inlineStr"/>
      <c r="FVY79" s="278" t="inlineStr"/>
      <c r="FVZ79" s="278" t="inlineStr"/>
      <c r="FWA79" s="278" t="inlineStr"/>
      <c r="FWB79" s="278" t="inlineStr"/>
      <c r="FWC79" s="278" t="inlineStr"/>
      <c r="FWD79" s="278" t="inlineStr"/>
      <c r="FWE79" s="278" t="inlineStr"/>
      <c r="FWF79" s="278" t="inlineStr"/>
      <c r="FWG79" s="278" t="inlineStr"/>
      <c r="FWH79" s="278" t="inlineStr"/>
      <c r="FWI79" s="278" t="inlineStr"/>
      <c r="FWJ79" s="278" t="inlineStr"/>
      <c r="FWK79" s="278" t="inlineStr"/>
      <c r="FWL79" s="278" t="inlineStr"/>
      <c r="FWM79" s="278" t="inlineStr"/>
      <c r="FWN79" s="278" t="inlineStr"/>
      <c r="FWO79" s="278" t="inlineStr"/>
      <c r="FWP79" s="278" t="inlineStr"/>
      <c r="FWQ79" s="278" t="inlineStr"/>
      <c r="FWR79" s="278" t="inlineStr"/>
      <c r="FWS79" s="278" t="inlineStr"/>
      <c r="FWT79" s="278" t="inlineStr"/>
      <c r="FWU79" s="278" t="inlineStr"/>
      <c r="FWV79" s="278" t="inlineStr"/>
      <c r="FWW79" s="278" t="inlineStr"/>
      <c r="FWX79" s="278" t="inlineStr"/>
      <c r="FWY79" s="278" t="inlineStr"/>
      <c r="FWZ79" s="278" t="inlineStr"/>
      <c r="FXA79" s="278" t="inlineStr"/>
      <c r="FXB79" s="278" t="inlineStr"/>
      <c r="FXC79" s="278" t="inlineStr"/>
      <c r="FXD79" s="278" t="inlineStr"/>
      <c r="FXE79" s="278" t="inlineStr"/>
      <c r="FXF79" s="278" t="inlineStr"/>
      <c r="FXG79" s="278" t="inlineStr"/>
      <c r="FXH79" s="278" t="inlineStr"/>
      <c r="FXI79" s="278" t="inlineStr"/>
      <c r="FXJ79" s="278" t="inlineStr"/>
      <c r="FXK79" s="278" t="inlineStr"/>
      <c r="FXL79" s="278" t="inlineStr"/>
      <c r="FXM79" s="278" t="inlineStr"/>
      <c r="FXN79" s="278" t="inlineStr"/>
      <c r="FXO79" s="278" t="inlineStr"/>
      <c r="FXP79" s="278" t="inlineStr"/>
      <c r="FXQ79" s="278" t="inlineStr"/>
      <c r="FXR79" s="278" t="inlineStr"/>
      <c r="FXS79" s="278" t="inlineStr"/>
      <c r="FXT79" s="278" t="inlineStr"/>
      <c r="FXU79" s="278" t="inlineStr"/>
      <c r="FXV79" s="278" t="inlineStr"/>
      <c r="FXW79" s="278" t="inlineStr"/>
      <c r="FXX79" s="278" t="inlineStr"/>
      <c r="FXY79" s="278" t="inlineStr"/>
      <c r="FXZ79" s="278" t="inlineStr"/>
      <c r="FYA79" s="278" t="inlineStr"/>
      <c r="FYB79" s="278" t="inlineStr"/>
      <c r="FYC79" s="278" t="inlineStr"/>
      <c r="FYD79" s="278" t="inlineStr"/>
      <c r="FYE79" s="278" t="inlineStr"/>
      <c r="FYF79" s="278" t="inlineStr"/>
      <c r="FYG79" s="278" t="inlineStr"/>
      <c r="FYH79" s="278" t="inlineStr"/>
      <c r="FYI79" s="278" t="inlineStr"/>
      <c r="FYJ79" s="278" t="inlineStr"/>
      <c r="FYK79" s="278" t="inlineStr"/>
      <c r="FYL79" s="278" t="inlineStr"/>
      <c r="FYM79" s="278" t="inlineStr"/>
      <c r="FYN79" s="278" t="inlineStr"/>
      <c r="FYO79" s="278" t="inlineStr"/>
      <c r="FYP79" s="278" t="inlineStr"/>
      <c r="FYQ79" s="278" t="inlineStr"/>
      <c r="FYR79" s="278" t="inlineStr"/>
      <c r="FYS79" s="278" t="inlineStr"/>
      <c r="FYT79" s="278" t="inlineStr"/>
      <c r="FYU79" s="278" t="inlineStr"/>
      <c r="FYV79" s="278" t="inlineStr"/>
      <c r="FYW79" s="278" t="inlineStr"/>
      <c r="FYX79" s="278" t="inlineStr"/>
      <c r="FYY79" s="278" t="inlineStr"/>
      <c r="FYZ79" s="278" t="inlineStr"/>
      <c r="FZA79" s="278" t="inlineStr"/>
      <c r="FZB79" s="278" t="inlineStr"/>
      <c r="FZC79" s="278" t="inlineStr"/>
      <c r="FZD79" s="278" t="inlineStr"/>
      <c r="FZE79" s="278" t="inlineStr"/>
      <c r="FZF79" s="278" t="inlineStr"/>
      <c r="FZG79" s="278" t="inlineStr"/>
      <c r="FZH79" s="278" t="inlineStr"/>
      <c r="FZI79" s="278" t="inlineStr"/>
      <c r="FZJ79" s="278" t="inlineStr"/>
      <c r="FZK79" s="278" t="inlineStr"/>
      <c r="FZL79" s="278" t="inlineStr"/>
      <c r="FZM79" s="278" t="inlineStr"/>
      <c r="FZN79" s="278" t="inlineStr"/>
      <c r="FZO79" s="278" t="inlineStr"/>
      <c r="FZP79" s="278" t="inlineStr"/>
      <c r="FZQ79" s="278" t="inlineStr"/>
      <c r="FZR79" s="278" t="inlineStr"/>
      <c r="FZS79" s="278" t="inlineStr"/>
      <c r="FZT79" s="278" t="inlineStr"/>
      <c r="FZU79" s="278" t="inlineStr"/>
      <c r="FZV79" s="278" t="inlineStr"/>
      <c r="FZW79" s="278" t="inlineStr"/>
      <c r="FZX79" s="278" t="inlineStr"/>
      <c r="FZY79" s="278" t="inlineStr"/>
      <c r="FZZ79" s="278" t="inlineStr"/>
      <c r="GAA79" s="278" t="inlineStr"/>
      <c r="GAB79" s="278" t="inlineStr"/>
      <c r="GAC79" s="278" t="inlineStr"/>
      <c r="GAD79" s="278" t="inlineStr"/>
      <c r="GAE79" s="278" t="inlineStr"/>
      <c r="GAF79" s="278" t="inlineStr"/>
      <c r="GAG79" s="278" t="inlineStr"/>
      <c r="GAH79" s="278" t="inlineStr"/>
      <c r="GAI79" s="278" t="inlineStr"/>
      <c r="GAJ79" s="278" t="inlineStr"/>
      <c r="GAK79" s="278" t="inlineStr"/>
      <c r="GAL79" s="278" t="inlineStr"/>
      <c r="GAM79" s="278" t="inlineStr"/>
      <c r="GAN79" s="278" t="inlineStr"/>
      <c r="GAO79" s="278" t="inlineStr"/>
      <c r="GAP79" s="278" t="inlineStr"/>
      <c r="GAQ79" s="278" t="inlineStr"/>
      <c r="GAR79" s="278" t="inlineStr"/>
      <c r="GAS79" s="278" t="inlineStr"/>
      <c r="GAT79" s="278" t="inlineStr"/>
      <c r="GAU79" s="278" t="inlineStr"/>
      <c r="GAV79" s="278" t="inlineStr"/>
      <c r="GAW79" s="278" t="inlineStr"/>
      <c r="GAX79" s="278" t="inlineStr"/>
      <c r="GAY79" s="278" t="inlineStr"/>
      <c r="GAZ79" s="278" t="inlineStr"/>
      <c r="GBA79" s="278" t="inlineStr"/>
      <c r="GBB79" s="278" t="inlineStr"/>
      <c r="GBC79" s="278" t="inlineStr"/>
      <c r="GBD79" s="278" t="inlineStr"/>
      <c r="GBE79" s="278" t="inlineStr"/>
      <c r="GBF79" s="278" t="inlineStr"/>
      <c r="GBG79" s="278" t="inlineStr"/>
      <c r="GBH79" s="278" t="inlineStr"/>
      <c r="GBI79" s="278" t="inlineStr"/>
      <c r="GBJ79" s="278" t="inlineStr"/>
      <c r="GBK79" s="278" t="inlineStr"/>
      <c r="GBL79" s="278" t="inlineStr"/>
      <c r="GBM79" s="278" t="inlineStr"/>
      <c r="GBN79" s="278" t="inlineStr"/>
      <c r="GBO79" s="278" t="inlineStr"/>
      <c r="GBP79" s="278" t="inlineStr"/>
      <c r="GBQ79" s="278" t="inlineStr"/>
      <c r="GBR79" s="278" t="inlineStr"/>
      <c r="GBS79" s="278" t="inlineStr"/>
      <c r="GBT79" s="278" t="inlineStr"/>
      <c r="GBU79" s="278" t="inlineStr"/>
      <c r="GBV79" s="278" t="inlineStr"/>
      <c r="GBW79" s="278" t="inlineStr"/>
      <c r="GBX79" s="278" t="inlineStr"/>
      <c r="GBY79" s="278" t="inlineStr"/>
      <c r="GBZ79" s="278" t="inlineStr"/>
      <c r="GCA79" s="278" t="inlineStr"/>
      <c r="GCB79" s="278" t="inlineStr"/>
      <c r="GCC79" s="278" t="inlineStr"/>
      <c r="GCD79" s="278" t="inlineStr"/>
      <c r="GCE79" s="278" t="inlineStr"/>
      <c r="GCF79" s="278" t="inlineStr"/>
      <c r="GCG79" s="278" t="inlineStr"/>
      <c r="GCH79" s="278" t="inlineStr"/>
      <c r="GCI79" s="278" t="inlineStr"/>
      <c r="GCJ79" s="278" t="inlineStr"/>
      <c r="GCK79" s="278" t="inlineStr"/>
      <c r="GCL79" s="278" t="inlineStr"/>
      <c r="GCM79" s="278" t="inlineStr"/>
      <c r="GCN79" s="278" t="inlineStr"/>
      <c r="GCO79" s="278" t="inlineStr"/>
      <c r="GCP79" s="278" t="inlineStr"/>
      <c r="GCQ79" s="278" t="inlineStr"/>
      <c r="GCR79" s="278" t="inlineStr"/>
      <c r="GCS79" s="278" t="inlineStr"/>
      <c r="GCT79" s="278" t="inlineStr"/>
      <c r="GCU79" s="278" t="inlineStr"/>
      <c r="GCV79" s="278" t="inlineStr"/>
      <c r="GCW79" s="278" t="inlineStr"/>
      <c r="GCX79" s="278" t="inlineStr"/>
      <c r="GCY79" s="278" t="inlineStr"/>
      <c r="GCZ79" s="278" t="inlineStr"/>
      <c r="GDA79" s="278" t="inlineStr"/>
      <c r="GDB79" s="278" t="inlineStr"/>
      <c r="GDC79" s="278" t="inlineStr"/>
      <c r="GDD79" s="278" t="inlineStr"/>
      <c r="GDE79" s="278" t="inlineStr"/>
      <c r="GDF79" s="278" t="inlineStr"/>
      <c r="GDG79" s="278" t="inlineStr"/>
      <c r="GDH79" s="278" t="inlineStr"/>
      <c r="GDI79" s="278" t="inlineStr"/>
      <c r="GDJ79" s="278" t="inlineStr"/>
      <c r="GDK79" s="278" t="inlineStr"/>
      <c r="GDL79" s="278" t="inlineStr"/>
      <c r="GDM79" s="278" t="inlineStr"/>
      <c r="GDN79" s="278" t="inlineStr"/>
      <c r="GDO79" s="278" t="inlineStr"/>
      <c r="GDP79" s="278" t="inlineStr"/>
      <c r="GDQ79" s="278" t="inlineStr"/>
      <c r="GDR79" s="278" t="inlineStr"/>
      <c r="GDS79" s="278" t="inlineStr"/>
      <c r="GDT79" s="278" t="inlineStr"/>
      <c r="GDU79" s="278" t="inlineStr"/>
      <c r="GDV79" s="278" t="inlineStr"/>
      <c r="GDW79" s="278" t="inlineStr"/>
      <c r="GDX79" s="278" t="inlineStr"/>
      <c r="GDY79" s="278" t="inlineStr"/>
      <c r="GDZ79" s="278" t="inlineStr"/>
      <c r="GEA79" s="278" t="inlineStr"/>
      <c r="GEB79" s="278" t="inlineStr"/>
      <c r="GEC79" s="278" t="inlineStr"/>
      <c r="GED79" s="278" t="inlineStr"/>
      <c r="GEE79" s="278" t="inlineStr"/>
      <c r="GEF79" s="278" t="inlineStr"/>
      <c r="GEG79" s="278" t="inlineStr"/>
      <c r="GEH79" s="278" t="inlineStr"/>
      <c r="GEI79" s="278" t="inlineStr"/>
      <c r="GEJ79" s="278" t="inlineStr"/>
      <c r="GEK79" s="278" t="inlineStr"/>
      <c r="GEL79" s="278" t="inlineStr"/>
      <c r="GEM79" s="278" t="inlineStr"/>
      <c r="GEN79" s="278" t="inlineStr"/>
      <c r="GEO79" s="278" t="inlineStr"/>
      <c r="GEP79" s="278" t="inlineStr"/>
      <c r="GEQ79" s="278" t="inlineStr"/>
      <c r="GER79" s="278" t="inlineStr"/>
      <c r="GES79" s="278" t="inlineStr"/>
      <c r="GET79" s="278" t="inlineStr"/>
      <c r="GEU79" s="278" t="inlineStr"/>
      <c r="GEV79" s="278" t="inlineStr"/>
      <c r="GEW79" s="278" t="inlineStr"/>
      <c r="GEX79" s="278" t="inlineStr"/>
      <c r="GEY79" s="278" t="inlineStr"/>
      <c r="GEZ79" s="278" t="inlineStr"/>
      <c r="GFA79" s="278" t="inlineStr"/>
      <c r="GFB79" s="278" t="inlineStr"/>
      <c r="GFC79" s="278" t="inlineStr"/>
      <c r="GFD79" s="278" t="inlineStr"/>
      <c r="GFE79" s="278" t="inlineStr"/>
      <c r="GFF79" s="278" t="inlineStr"/>
      <c r="GFG79" s="278" t="inlineStr"/>
      <c r="GFH79" s="278" t="inlineStr"/>
      <c r="GFI79" s="278" t="inlineStr"/>
      <c r="GFJ79" s="278" t="inlineStr"/>
      <c r="GFK79" s="278" t="inlineStr"/>
      <c r="GFL79" s="278" t="inlineStr"/>
      <c r="GFM79" s="278" t="inlineStr"/>
      <c r="GFN79" s="278" t="inlineStr"/>
      <c r="GFO79" s="278" t="inlineStr"/>
      <c r="GFP79" s="278" t="inlineStr"/>
      <c r="GFQ79" s="278" t="inlineStr"/>
      <c r="GFR79" s="278" t="inlineStr"/>
      <c r="GFS79" s="278" t="inlineStr"/>
      <c r="GFT79" s="278" t="inlineStr"/>
      <c r="GFU79" s="278" t="inlineStr"/>
      <c r="GFV79" s="278" t="inlineStr"/>
      <c r="GFW79" s="278" t="inlineStr"/>
      <c r="GFX79" s="278" t="inlineStr"/>
      <c r="GFY79" s="278" t="inlineStr"/>
      <c r="GFZ79" s="278" t="inlineStr"/>
      <c r="GGA79" s="278" t="inlineStr"/>
      <c r="GGB79" s="278" t="inlineStr"/>
      <c r="GGC79" s="278" t="inlineStr"/>
      <c r="GGD79" s="278" t="inlineStr"/>
      <c r="GGE79" s="278" t="inlineStr"/>
      <c r="GGF79" s="278" t="inlineStr"/>
      <c r="GGG79" s="278" t="inlineStr"/>
      <c r="GGH79" s="278" t="inlineStr"/>
      <c r="GGI79" s="278" t="inlineStr"/>
      <c r="GGJ79" s="278" t="inlineStr"/>
      <c r="GGK79" s="278" t="inlineStr"/>
      <c r="GGL79" s="278" t="inlineStr"/>
      <c r="GGM79" s="278" t="inlineStr"/>
      <c r="GGN79" s="278" t="inlineStr"/>
      <c r="GGO79" s="278" t="inlineStr"/>
      <c r="GGP79" s="278" t="inlineStr"/>
      <c r="GGQ79" s="278" t="inlineStr"/>
      <c r="GGR79" s="278" t="inlineStr"/>
      <c r="GGS79" s="278" t="inlineStr"/>
      <c r="GGT79" s="278" t="inlineStr"/>
      <c r="GGU79" s="278" t="inlineStr"/>
      <c r="GGV79" s="278" t="inlineStr"/>
      <c r="GGW79" s="278" t="inlineStr"/>
      <c r="GGX79" s="278" t="inlineStr"/>
      <c r="GGY79" s="278" t="inlineStr"/>
      <c r="GGZ79" s="278" t="inlineStr"/>
      <c r="GHA79" s="278" t="inlineStr"/>
      <c r="GHB79" s="278" t="inlineStr"/>
      <c r="GHC79" s="278" t="inlineStr"/>
      <c r="GHD79" s="278" t="inlineStr"/>
      <c r="GHE79" s="278" t="inlineStr"/>
      <c r="GHF79" s="278" t="inlineStr"/>
      <c r="GHG79" s="278" t="inlineStr"/>
      <c r="GHH79" s="278" t="inlineStr"/>
      <c r="GHI79" s="278" t="inlineStr"/>
      <c r="GHJ79" s="278" t="inlineStr"/>
      <c r="GHK79" s="278" t="inlineStr"/>
      <c r="GHL79" s="278" t="inlineStr"/>
      <c r="GHM79" s="278" t="inlineStr"/>
      <c r="GHN79" s="278" t="inlineStr"/>
      <c r="GHO79" s="278" t="inlineStr"/>
      <c r="GHP79" s="278" t="inlineStr"/>
      <c r="GHQ79" s="278" t="inlineStr"/>
      <c r="GHR79" s="278" t="inlineStr"/>
      <c r="GHS79" s="278" t="inlineStr"/>
      <c r="GHT79" s="278" t="inlineStr"/>
      <c r="GHU79" s="278" t="inlineStr"/>
      <c r="GHV79" s="278" t="inlineStr"/>
      <c r="GHW79" s="278" t="inlineStr"/>
      <c r="GHX79" s="278" t="inlineStr"/>
      <c r="GHY79" s="278" t="inlineStr"/>
      <c r="GHZ79" s="278" t="inlineStr"/>
      <c r="GIA79" s="278" t="inlineStr"/>
      <c r="GIB79" s="278" t="inlineStr"/>
      <c r="GIC79" s="278" t="inlineStr"/>
      <c r="GID79" s="278" t="inlineStr"/>
      <c r="GIE79" s="278" t="inlineStr"/>
      <c r="GIF79" s="278" t="inlineStr"/>
      <c r="GIG79" s="278" t="inlineStr"/>
      <c r="GIH79" s="278" t="inlineStr"/>
      <c r="GII79" s="278" t="inlineStr"/>
      <c r="GIJ79" s="278" t="inlineStr"/>
      <c r="GIK79" s="278" t="inlineStr"/>
      <c r="GIL79" s="278" t="inlineStr"/>
      <c r="GIM79" s="278" t="inlineStr"/>
      <c r="GIN79" s="278" t="inlineStr"/>
      <c r="GIO79" s="278" t="inlineStr"/>
      <c r="GIP79" s="278" t="inlineStr"/>
      <c r="GIQ79" s="278" t="inlineStr"/>
      <c r="GIR79" s="278" t="inlineStr"/>
      <c r="GIS79" s="278" t="inlineStr"/>
      <c r="GIT79" s="278" t="inlineStr"/>
      <c r="GIU79" s="278" t="inlineStr"/>
      <c r="GIV79" s="278" t="inlineStr"/>
      <c r="GIW79" s="278" t="inlineStr"/>
      <c r="GIX79" s="278" t="inlineStr"/>
      <c r="GIY79" s="278" t="inlineStr"/>
      <c r="GIZ79" s="278" t="inlineStr"/>
      <c r="GJA79" s="278" t="inlineStr"/>
      <c r="GJB79" s="278" t="inlineStr"/>
      <c r="GJC79" s="278" t="inlineStr"/>
      <c r="GJD79" s="278" t="inlineStr"/>
      <c r="GJE79" s="278" t="inlineStr"/>
      <c r="GJF79" s="278" t="inlineStr"/>
      <c r="GJG79" s="278" t="inlineStr"/>
      <c r="GJH79" s="278" t="inlineStr"/>
      <c r="GJI79" s="278" t="inlineStr"/>
      <c r="GJJ79" s="278" t="inlineStr"/>
      <c r="GJK79" s="278" t="inlineStr"/>
      <c r="GJL79" s="278" t="inlineStr"/>
      <c r="GJM79" s="278" t="inlineStr"/>
      <c r="GJN79" s="278" t="inlineStr"/>
      <c r="GJO79" s="278" t="inlineStr"/>
      <c r="GJP79" s="278" t="inlineStr"/>
      <c r="GJQ79" s="278" t="inlineStr"/>
      <c r="GJR79" s="278" t="inlineStr"/>
      <c r="GJS79" s="278" t="inlineStr"/>
      <c r="GJT79" s="278" t="inlineStr"/>
      <c r="GJU79" s="278" t="inlineStr"/>
      <c r="GJV79" s="278" t="inlineStr"/>
      <c r="GJW79" s="278" t="inlineStr"/>
      <c r="GJX79" s="278" t="inlineStr"/>
      <c r="GJY79" s="278" t="inlineStr"/>
      <c r="GJZ79" s="278" t="inlineStr"/>
      <c r="GKA79" s="278" t="inlineStr"/>
      <c r="GKB79" s="278" t="inlineStr"/>
      <c r="GKC79" s="278" t="inlineStr"/>
      <c r="GKD79" s="278" t="inlineStr"/>
      <c r="GKE79" s="278" t="inlineStr"/>
      <c r="GKF79" s="278" t="inlineStr"/>
      <c r="GKG79" s="278" t="inlineStr"/>
      <c r="GKH79" s="278" t="inlineStr"/>
      <c r="GKI79" s="278" t="inlineStr"/>
      <c r="GKJ79" s="278" t="inlineStr"/>
      <c r="GKK79" s="278" t="inlineStr"/>
      <c r="GKL79" s="278" t="inlineStr"/>
      <c r="GKM79" s="278" t="inlineStr"/>
      <c r="GKN79" s="278" t="inlineStr"/>
      <c r="GKO79" s="278" t="inlineStr"/>
      <c r="GKP79" s="278" t="inlineStr"/>
      <c r="GKQ79" s="278" t="inlineStr"/>
      <c r="GKR79" s="278" t="inlineStr"/>
      <c r="GKS79" s="278" t="inlineStr"/>
      <c r="GKT79" s="278" t="inlineStr"/>
      <c r="GKU79" s="278" t="inlineStr"/>
      <c r="GKV79" s="278" t="inlineStr"/>
      <c r="GKW79" s="278" t="inlineStr"/>
      <c r="GKX79" s="278" t="inlineStr"/>
      <c r="GKY79" s="278" t="inlineStr"/>
      <c r="GKZ79" s="278" t="inlineStr"/>
      <c r="GLA79" s="278" t="inlineStr"/>
      <c r="GLB79" s="278" t="inlineStr"/>
      <c r="GLC79" s="278" t="inlineStr"/>
      <c r="GLD79" s="278" t="inlineStr"/>
      <c r="GLE79" s="278" t="inlineStr"/>
      <c r="GLF79" s="278" t="inlineStr"/>
      <c r="GLG79" s="278" t="inlineStr"/>
      <c r="GLH79" s="278" t="inlineStr"/>
      <c r="GLI79" s="278" t="inlineStr"/>
      <c r="GLJ79" s="278" t="inlineStr"/>
      <c r="GLK79" s="278" t="inlineStr"/>
      <c r="GLL79" s="278" t="inlineStr"/>
      <c r="GLM79" s="278" t="inlineStr"/>
      <c r="GLN79" s="278" t="inlineStr"/>
      <c r="GLO79" s="278" t="inlineStr"/>
      <c r="GLP79" s="278" t="inlineStr"/>
      <c r="GLQ79" s="278" t="inlineStr"/>
      <c r="GLR79" s="278" t="inlineStr"/>
      <c r="GLS79" s="278" t="inlineStr"/>
      <c r="GLT79" s="278" t="inlineStr"/>
      <c r="GLU79" s="278" t="inlineStr"/>
      <c r="GLV79" s="278" t="inlineStr"/>
      <c r="GLW79" s="278" t="inlineStr"/>
      <c r="GLX79" s="278" t="inlineStr"/>
      <c r="GLY79" s="278" t="inlineStr"/>
      <c r="GLZ79" s="278" t="inlineStr"/>
      <c r="GMA79" s="278" t="inlineStr"/>
      <c r="GMB79" s="278" t="inlineStr"/>
      <c r="GMC79" s="278" t="inlineStr"/>
      <c r="GMD79" s="278" t="inlineStr"/>
      <c r="GME79" s="278" t="inlineStr"/>
      <c r="GMF79" s="278" t="inlineStr"/>
      <c r="GMG79" s="278" t="inlineStr"/>
      <c r="GMH79" s="278" t="inlineStr"/>
      <c r="GMI79" s="278" t="inlineStr"/>
      <c r="GMJ79" s="278" t="inlineStr"/>
      <c r="GMK79" s="278" t="inlineStr"/>
      <c r="GML79" s="278" t="inlineStr"/>
      <c r="GMM79" s="278" t="inlineStr"/>
      <c r="GMN79" s="278" t="inlineStr"/>
      <c r="GMO79" s="278" t="inlineStr"/>
      <c r="GMP79" s="278" t="inlineStr"/>
      <c r="GMQ79" s="278" t="inlineStr"/>
      <c r="GMR79" s="278" t="inlineStr"/>
      <c r="GMS79" s="278" t="inlineStr"/>
      <c r="GMT79" s="278" t="inlineStr"/>
      <c r="GMU79" s="278" t="inlineStr"/>
      <c r="GMV79" s="278" t="inlineStr"/>
      <c r="GMW79" s="278" t="inlineStr"/>
      <c r="GMX79" s="278" t="inlineStr"/>
      <c r="GMY79" s="278" t="inlineStr"/>
      <c r="GMZ79" s="278" t="inlineStr"/>
      <c r="GNA79" s="278" t="inlineStr"/>
      <c r="GNB79" s="278" t="inlineStr"/>
      <c r="GNC79" s="278" t="inlineStr"/>
      <c r="GND79" s="278" t="inlineStr"/>
      <c r="GNE79" s="278" t="inlineStr"/>
      <c r="GNF79" s="278" t="inlineStr"/>
      <c r="GNG79" s="278" t="inlineStr"/>
      <c r="GNH79" s="278" t="inlineStr"/>
      <c r="GNI79" s="278" t="inlineStr"/>
      <c r="GNJ79" s="278" t="inlineStr"/>
      <c r="GNK79" s="278" t="inlineStr"/>
      <c r="GNL79" s="278" t="inlineStr"/>
      <c r="GNM79" s="278" t="inlineStr"/>
      <c r="GNN79" s="278" t="inlineStr"/>
      <c r="GNO79" s="278" t="inlineStr"/>
      <c r="GNP79" s="278" t="inlineStr"/>
      <c r="GNQ79" s="278" t="inlineStr"/>
      <c r="GNR79" s="278" t="inlineStr"/>
      <c r="GNS79" s="278" t="inlineStr"/>
      <c r="GNT79" s="278" t="inlineStr"/>
      <c r="GNU79" s="278" t="inlineStr"/>
      <c r="GNV79" s="278" t="inlineStr"/>
      <c r="GNW79" s="278" t="inlineStr"/>
      <c r="GNX79" s="278" t="inlineStr"/>
      <c r="GNY79" s="278" t="inlineStr"/>
      <c r="GNZ79" s="278" t="inlineStr"/>
      <c r="GOA79" s="278" t="inlineStr"/>
      <c r="GOB79" s="278" t="inlineStr"/>
      <c r="GOC79" s="278" t="inlineStr"/>
      <c r="GOD79" s="278" t="inlineStr"/>
      <c r="GOE79" s="278" t="inlineStr"/>
      <c r="GOF79" s="278" t="inlineStr"/>
      <c r="GOG79" s="278" t="inlineStr"/>
      <c r="GOH79" s="278" t="inlineStr"/>
      <c r="GOI79" s="278" t="inlineStr"/>
      <c r="GOJ79" s="278" t="inlineStr"/>
      <c r="GOK79" s="278" t="inlineStr"/>
      <c r="GOL79" s="278" t="inlineStr"/>
      <c r="GOM79" s="278" t="inlineStr"/>
      <c r="GON79" s="278" t="inlineStr"/>
      <c r="GOO79" s="278" t="inlineStr"/>
      <c r="GOP79" s="278" t="inlineStr"/>
      <c r="GOQ79" s="278" t="inlineStr"/>
      <c r="GOR79" s="278" t="inlineStr"/>
      <c r="GOS79" s="278" t="inlineStr"/>
      <c r="GOT79" s="278" t="inlineStr"/>
      <c r="GOU79" s="278" t="inlineStr"/>
      <c r="GOV79" s="278" t="inlineStr"/>
      <c r="GOW79" s="278" t="inlineStr"/>
      <c r="GOX79" s="278" t="inlineStr"/>
      <c r="GOY79" s="278" t="inlineStr"/>
      <c r="GOZ79" s="278" t="inlineStr"/>
      <c r="GPA79" s="278" t="inlineStr"/>
      <c r="GPB79" s="278" t="inlineStr"/>
      <c r="GPC79" s="278" t="inlineStr"/>
      <c r="GPD79" s="278" t="inlineStr"/>
      <c r="GPE79" s="278" t="inlineStr"/>
      <c r="GPF79" s="278" t="inlineStr"/>
      <c r="GPG79" s="278" t="inlineStr"/>
      <c r="GPH79" s="278" t="inlineStr"/>
      <c r="GPI79" s="278" t="inlineStr"/>
      <c r="GPJ79" s="278" t="inlineStr"/>
      <c r="GPK79" s="278" t="inlineStr"/>
      <c r="GPL79" s="278" t="inlineStr"/>
      <c r="GPM79" s="278" t="inlineStr"/>
      <c r="GPN79" s="278" t="inlineStr"/>
      <c r="GPO79" s="278" t="inlineStr"/>
      <c r="GPP79" s="278" t="inlineStr"/>
      <c r="GPQ79" s="278" t="inlineStr"/>
      <c r="GPR79" s="278" t="inlineStr"/>
      <c r="GPS79" s="278" t="inlineStr"/>
      <c r="GPT79" s="278" t="inlineStr"/>
      <c r="GPU79" s="278" t="inlineStr"/>
      <c r="GPV79" s="278" t="inlineStr"/>
      <c r="GPW79" s="278" t="inlineStr"/>
      <c r="GPX79" s="278" t="inlineStr"/>
      <c r="GPY79" s="278" t="inlineStr"/>
      <c r="GPZ79" s="278" t="inlineStr"/>
      <c r="GQA79" s="278" t="inlineStr"/>
      <c r="GQB79" s="278" t="inlineStr"/>
      <c r="GQC79" s="278" t="inlineStr"/>
      <c r="GQD79" s="278" t="inlineStr"/>
      <c r="GQE79" s="278" t="inlineStr"/>
      <c r="GQF79" s="278" t="inlineStr"/>
      <c r="GQG79" s="278" t="inlineStr"/>
      <c r="GQH79" s="278" t="inlineStr"/>
      <c r="GQI79" s="278" t="inlineStr"/>
      <c r="GQJ79" s="278" t="inlineStr"/>
      <c r="GQK79" s="278" t="inlineStr"/>
      <c r="GQL79" s="278" t="inlineStr"/>
      <c r="GQM79" s="278" t="inlineStr"/>
      <c r="GQN79" s="278" t="inlineStr"/>
      <c r="GQO79" s="278" t="inlineStr"/>
      <c r="GQP79" s="278" t="inlineStr"/>
      <c r="GQQ79" s="278" t="inlineStr"/>
      <c r="GQR79" s="278" t="inlineStr"/>
      <c r="GQS79" s="278" t="inlineStr"/>
      <c r="GQT79" s="278" t="inlineStr"/>
      <c r="GQU79" s="278" t="inlineStr"/>
      <c r="GQV79" s="278" t="inlineStr"/>
      <c r="GQW79" s="278" t="inlineStr"/>
      <c r="GQX79" s="278" t="inlineStr"/>
      <c r="GQY79" s="278" t="inlineStr"/>
      <c r="GQZ79" s="278" t="inlineStr"/>
      <c r="GRA79" s="278" t="inlineStr"/>
      <c r="GRB79" s="278" t="inlineStr"/>
      <c r="GRC79" s="278" t="inlineStr"/>
      <c r="GRD79" s="278" t="inlineStr"/>
      <c r="GRE79" s="278" t="inlineStr"/>
      <c r="GRF79" s="278" t="inlineStr"/>
      <c r="GRG79" s="278" t="inlineStr"/>
      <c r="GRH79" s="278" t="inlineStr"/>
      <c r="GRI79" s="278" t="inlineStr"/>
      <c r="GRJ79" s="278" t="inlineStr"/>
      <c r="GRK79" s="278" t="inlineStr"/>
      <c r="GRL79" s="278" t="inlineStr"/>
      <c r="GRM79" s="278" t="inlineStr"/>
      <c r="GRN79" s="278" t="inlineStr"/>
      <c r="GRO79" s="278" t="inlineStr"/>
      <c r="GRP79" s="278" t="inlineStr"/>
      <c r="GRQ79" s="278" t="inlineStr"/>
      <c r="GRR79" s="278" t="inlineStr"/>
      <c r="GRS79" s="278" t="inlineStr"/>
      <c r="GRT79" s="278" t="inlineStr"/>
      <c r="GRU79" s="278" t="inlineStr"/>
      <c r="GRV79" s="278" t="inlineStr"/>
      <c r="GRW79" s="278" t="inlineStr"/>
      <c r="GRX79" s="278" t="inlineStr"/>
      <c r="GRY79" s="278" t="inlineStr"/>
      <c r="GRZ79" s="278" t="inlineStr"/>
      <c r="GSA79" s="278" t="inlineStr"/>
      <c r="GSB79" s="278" t="inlineStr"/>
      <c r="GSC79" s="278" t="inlineStr"/>
      <c r="GSD79" s="278" t="inlineStr"/>
      <c r="GSE79" s="278" t="inlineStr"/>
      <c r="GSF79" s="278" t="inlineStr"/>
      <c r="GSG79" s="278" t="inlineStr"/>
      <c r="GSH79" s="278" t="inlineStr"/>
      <c r="GSI79" s="278" t="inlineStr"/>
      <c r="GSJ79" s="278" t="inlineStr"/>
      <c r="GSK79" s="278" t="inlineStr"/>
      <c r="GSL79" s="278" t="inlineStr"/>
      <c r="GSM79" s="278" t="inlineStr"/>
      <c r="GSN79" s="278" t="inlineStr"/>
      <c r="GSO79" s="278" t="inlineStr"/>
      <c r="GSP79" s="278" t="inlineStr"/>
      <c r="GSQ79" s="278" t="inlineStr"/>
      <c r="GSR79" s="278" t="inlineStr"/>
      <c r="GSS79" s="278" t="inlineStr"/>
      <c r="GST79" s="278" t="inlineStr"/>
      <c r="GSU79" s="278" t="inlineStr"/>
      <c r="GSV79" s="278" t="inlineStr"/>
      <c r="GSW79" s="278" t="inlineStr"/>
      <c r="GSX79" s="278" t="inlineStr"/>
      <c r="GSY79" s="278" t="inlineStr"/>
      <c r="GSZ79" s="278" t="inlineStr"/>
      <c r="GTA79" s="278" t="inlineStr"/>
      <c r="GTB79" s="278" t="inlineStr"/>
      <c r="GTC79" s="278" t="inlineStr"/>
      <c r="GTD79" s="278" t="inlineStr"/>
      <c r="GTE79" s="278" t="inlineStr"/>
      <c r="GTF79" s="278" t="inlineStr"/>
      <c r="GTG79" s="278" t="inlineStr"/>
      <c r="GTH79" s="278" t="inlineStr"/>
      <c r="GTI79" s="278" t="inlineStr"/>
      <c r="GTJ79" s="278" t="inlineStr"/>
      <c r="GTK79" s="278" t="inlineStr"/>
      <c r="GTL79" s="278" t="inlineStr"/>
      <c r="GTM79" s="278" t="inlineStr"/>
      <c r="GTN79" s="278" t="inlineStr"/>
      <c r="GTO79" s="278" t="inlineStr"/>
      <c r="GTP79" s="278" t="inlineStr"/>
      <c r="GTQ79" s="278" t="inlineStr"/>
      <c r="GTR79" s="278" t="inlineStr"/>
      <c r="GTS79" s="278" t="inlineStr"/>
      <c r="GTT79" s="278" t="inlineStr"/>
      <c r="GTU79" s="278" t="inlineStr"/>
      <c r="GTV79" s="278" t="inlineStr"/>
      <c r="GTW79" s="278" t="inlineStr"/>
      <c r="GTX79" s="278" t="inlineStr"/>
      <c r="GTY79" s="278" t="inlineStr"/>
      <c r="GTZ79" s="278" t="inlineStr"/>
      <c r="GUA79" s="278" t="inlineStr"/>
      <c r="GUB79" s="278" t="inlineStr"/>
      <c r="GUC79" s="278" t="inlineStr"/>
      <c r="GUD79" s="278" t="inlineStr"/>
      <c r="GUE79" s="278" t="inlineStr"/>
      <c r="GUF79" s="278" t="inlineStr"/>
      <c r="GUG79" s="278" t="inlineStr"/>
      <c r="GUH79" s="278" t="inlineStr"/>
      <c r="GUI79" s="278" t="inlineStr"/>
      <c r="GUJ79" s="278" t="inlineStr"/>
      <c r="GUK79" s="278" t="inlineStr"/>
      <c r="GUL79" s="278" t="inlineStr"/>
      <c r="GUM79" s="278" t="inlineStr"/>
      <c r="GUN79" s="278" t="inlineStr"/>
      <c r="GUO79" s="278" t="inlineStr"/>
      <c r="GUP79" s="278" t="inlineStr"/>
      <c r="GUQ79" s="278" t="inlineStr"/>
      <c r="GUR79" s="278" t="inlineStr"/>
      <c r="GUS79" s="278" t="inlineStr"/>
      <c r="GUT79" s="278" t="inlineStr"/>
      <c r="GUU79" s="278" t="inlineStr"/>
      <c r="GUV79" s="278" t="inlineStr"/>
      <c r="GUW79" s="278" t="inlineStr"/>
      <c r="GUX79" s="278" t="inlineStr"/>
      <c r="GUY79" s="278" t="inlineStr"/>
      <c r="GUZ79" s="278" t="inlineStr"/>
      <c r="GVA79" s="278" t="inlineStr"/>
      <c r="GVB79" s="278" t="inlineStr"/>
      <c r="GVC79" s="278" t="inlineStr"/>
      <c r="GVD79" s="278" t="inlineStr"/>
      <c r="GVE79" s="278" t="inlineStr"/>
      <c r="GVF79" s="278" t="inlineStr"/>
      <c r="GVG79" s="278" t="inlineStr"/>
      <c r="GVH79" s="278" t="inlineStr"/>
      <c r="GVI79" s="278" t="inlineStr"/>
      <c r="GVJ79" s="278" t="inlineStr"/>
      <c r="GVK79" s="278" t="inlineStr"/>
      <c r="GVL79" s="278" t="inlineStr"/>
      <c r="GVM79" s="278" t="inlineStr"/>
      <c r="GVN79" s="278" t="inlineStr"/>
      <c r="GVO79" s="278" t="inlineStr"/>
      <c r="GVP79" s="278" t="inlineStr"/>
      <c r="GVQ79" s="278" t="inlineStr"/>
      <c r="GVR79" s="278" t="inlineStr"/>
      <c r="GVS79" s="278" t="inlineStr"/>
      <c r="GVT79" s="278" t="inlineStr"/>
      <c r="GVU79" s="278" t="inlineStr"/>
      <c r="GVV79" s="278" t="inlineStr"/>
      <c r="GVW79" s="278" t="inlineStr"/>
      <c r="GVX79" s="278" t="inlineStr"/>
      <c r="GVY79" s="278" t="inlineStr"/>
      <c r="GVZ79" s="278" t="inlineStr"/>
      <c r="GWA79" s="278" t="inlineStr"/>
      <c r="GWB79" s="278" t="inlineStr"/>
      <c r="GWC79" s="278" t="inlineStr"/>
      <c r="GWD79" s="278" t="inlineStr"/>
      <c r="GWE79" s="278" t="inlineStr"/>
      <c r="GWF79" s="278" t="inlineStr"/>
      <c r="GWG79" s="278" t="inlineStr"/>
      <c r="GWH79" s="278" t="inlineStr"/>
      <c r="GWI79" s="278" t="inlineStr"/>
      <c r="GWJ79" s="278" t="inlineStr"/>
      <c r="GWK79" s="278" t="inlineStr"/>
      <c r="GWL79" s="278" t="inlineStr"/>
      <c r="GWM79" s="278" t="inlineStr"/>
      <c r="GWN79" s="278" t="inlineStr"/>
      <c r="GWO79" s="278" t="inlineStr"/>
      <c r="GWP79" s="278" t="inlineStr"/>
      <c r="GWQ79" s="278" t="inlineStr"/>
      <c r="GWR79" s="278" t="inlineStr"/>
      <c r="GWS79" s="278" t="inlineStr"/>
      <c r="GWT79" s="278" t="inlineStr"/>
      <c r="GWU79" s="278" t="inlineStr"/>
      <c r="GWV79" s="278" t="inlineStr"/>
      <c r="GWW79" s="278" t="inlineStr"/>
      <c r="GWX79" s="278" t="inlineStr"/>
      <c r="GWY79" s="278" t="inlineStr"/>
      <c r="GWZ79" s="278" t="inlineStr"/>
      <c r="GXA79" s="278" t="inlineStr"/>
      <c r="GXB79" s="278" t="inlineStr"/>
      <c r="GXC79" s="278" t="inlineStr"/>
      <c r="GXD79" s="278" t="inlineStr"/>
      <c r="GXE79" s="278" t="inlineStr"/>
      <c r="GXF79" s="278" t="inlineStr"/>
      <c r="GXG79" s="278" t="inlineStr"/>
      <c r="GXH79" s="278" t="inlineStr"/>
      <c r="GXI79" s="278" t="inlineStr"/>
      <c r="GXJ79" s="278" t="inlineStr"/>
      <c r="GXK79" s="278" t="inlineStr"/>
      <c r="GXL79" s="278" t="inlineStr"/>
      <c r="GXM79" s="278" t="inlineStr"/>
      <c r="GXN79" s="278" t="inlineStr"/>
      <c r="GXO79" s="278" t="inlineStr"/>
      <c r="GXP79" s="278" t="inlineStr"/>
      <c r="GXQ79" s="278" t="inlineStr"/>
      <c r="GXR79" s="278" t="inlineStr"/>
      <c r="GXS79" s="278" t="inlineStr"/>
      <c r="GXT79" s="278" t="inlineStr"/>
      <c r="GXU79" s="278" t="inlineStr"/>
      <c r="GXV79" s="278" t="inlineStr"/>
      <c r="GXW79" s="278" t="inlineStr"/>
      <c r="GXX79" s="278" t="inlineStr"/>
      <c r="GXY79" s="278" t="inlineStr"/>
      <c r="GXZ79" s="278" t="inlineStr"/>
      <c r="GYA79" s="278" t="inlineStr"/>
      <c r="GYB79" s="278" t="inlineStr"/>
      <c r="GYC79" s="278" t="inlineStr"/>
      <c r="GYD79" s="278" t="inlineStr"/>
      <c r="GYE79" s="278" t="inlineStr"/>
      <c r="GYF79" s="278" t="inlineStr"/>
      <c r="GYG79" s="278" t="inlineStr"/>
      <c r="GYH79" s="278" t="inlineStr"/>
      <c r="GYI79" s="278" t="inlineStr"/>
      <c r="GYJ79" s="278" t="inlineStr"/>
      <c r="GYK79" s="278" t="inlineStr"/>
      <c r="GYL79" s="278" t="inlineStr"/>
      <c r="GYM79" s="278" t="inlineStr"/>
      <c r="GYN79" s="278" t="inlineStr"/>
      <c r="GYO79" s="278" t="inlineStr"/>
      <c r="GYP79" s="278" t="inlineStr"/>
      <c r="GYQ79" s="278" t="inlineStr"/>
      <c r="GYR79" s="278" t="inlineStr"/>
      <c r="GYS79" s="278" t="inlineStr"/>
      <c r="GYT79" s="278" t="inlineStr"/>
      <c r="GYU79" s="278" t="inlineStr"/>
      <c r="GYV79" s="278" t="inlineStr"/>
      <c r="GYW79" s="278" t="inlineStr"/>
      <c r="GYX79" s="278" t="inlineStr"/>
      <c r="GYY79" s="278" t="inlineStr"/>
      <c r="GYZ79" s="278" t="inlineStr"/>
      <c r="GZA79" s="278" t="inlineStr"/>
      <c r="GZB79" s="278" t="inlineStr"/>
      <c r="GZC79" s="278" t="inlineStr"/>
      <c r="GZD79" s="278" t="inlineStr"/>
      <c r="GZE79" s="278" t="inlineStr"/>
      <c r="GZF79" s="278" t="inlineStr"/>
      <c r="GZG79" s="278" t="inlineStr"/>
      <c r="GZH79" s="278" t="inlineStr"/>
      <c r="GZI79" s="278" t="inlineStr"/>
      <c r="GZJ79" s="278" t="inlineStr"/>
      <c r="GZK79" s="278" t="inlineStr"/>
      <c r="GZL79" s="278" t="inlineStr"/>
      <c r="GZM79" s="278" t="inlineStr"/>
      <c r="GZN79" s="278" t="inlineStr"/>
      <c r="GZO79" s="278" t="inlineStr"/>
      <c r="GZP79" s="278" t="inlineStr"/>
      <c r="GZQ79" s="278" t="inlineStr"/>
      <c r="GZR79" s="278" t="inlineStr"/>
      <c r="GZS79" s="278" t="inlineStr"/>
      <c r="GZT79" s="278" t="inlineStr"/>
      <c r="GZU79" s="278" t="inlineStr"/>
      <c r="GZV79" s="278" t="inlineStr"/>
      <c r="GZW79" s="278" t="inlineStr"/>
      <c r="GZX79" s="278" t="inlineStr"/>
      <c r="GZY79" s="278" t="inlineStr"/>
      <c r="GZZ79" s="278" t="inlineStr"/>
      <c r="HAA79" s="278" t="inlineStr"/>
      <c r="HAB79" s="278" t="inlineStr"/>
      <c r="HAC79" s="278" t="inlineStr"/>
      <c r="HAD79" s="278" t="inlineStr"/>
      <c r="HAE79" s="278" t="inlineStr"/>
      <c r="HAF79" s="278" t="inlineStr"/>
      <c r="HAG79" s="278" t="inlineStr"/>
      <c r="HAH79" s="278" t="inlineStr"/>
      <c r="HAI79" s="278" t="inlineStr"/>
      <c r="HAJ79" s="278" t="inlineStr"/>
      <c r="HAK79" s="278" t="inlineStr"/>
      <c r="HAL79" s="278" t="inlineStr"/>
      <c r="HAM79" s="278" t="inlineStr"/>
      <c r="HAN79" s="278" t="inlineStr"/>
      <c r="HAO79" s="278" t="inlineStr"/>
      <c r="HAP79" s="278" t="inlineStr"/>
      <c r="HAQ79" s="278" t="inlineStr"/>
      <c r="HAR79" s="278" t="inlineStr"/>
      <c r="HAS79" s="278" t="inlineStr"/>
      <c r="HAT79" s="278" t="inlineStr"/>
      <c r="HAU79" s="278" t="inlineStr"/>
      <c r="HAV79" s="278" t="inlineStr"/>
      <c r="HAW79" s="278" t="inlineStr"/>
      <c r="HAX79" s="278" t="inlineStr"/>
      <c r="HAY79" s="278" t="inlineStr"/>
      <c r="HAZ79" s="278" t="inlineStr"/>
      <c r="HBA79" s="278" t="inlineStr"/>
      <c r="HBB79" s="278" t="inlineStr"/>
      <c r="HBC79" s="278" t="inlineStr"/>
      <c r="HBD79" s="278" t="inlineStr"/>
      <c r="HBE79" s="278" t="inlineStr"/>
      <c r="HBF79" s="278" t="inlineStr"/>
      <c r="HBG79" s="278" t="inlineStr"/>
      <c r="HBH79" s="278" t="inlineStr"/>
      <c r="HBI79" s="278" t="inlineStr"/>
      <c r="HBJ79" s="278" t="inlineStr"/>
      <c r="HBK79" s="278" t="inlineStr"/>
      <c r="HBL79" s="278" t="inlineStr"/>
      <c r="HBM79" s="278" t="inlineStr"/>
      <c r="HBN79" s="278" t="inlineStr"/>
      <c r="HBO79" s="278" t="inlineStr"/>
      <c r="HBP79" s="278" t="inlineStr"/>
      <c r="HBQ79" s="278" t="inlineStr"/>
      <c r="HBR79" s="278" t="inlineStr"/>
      <c r="HBS79" s="278" t="inlineStr"/>
      <c r="HBT79" s="278" t="inlineStr"/>
      <c r="HBU79" s="278" t="inlineStr"/>
      <c r="HBV79" s="278" t="inlineStr"/>
      <c r="HBW79" s="278" t="inlineStr"/>
      <c r="HBX79" s="278" t="inlineStr"/>
      <c r="HBY79" s="278" t="inlineStr"/>
      <c r="HBZ79" s="278" t="inlineStr"/>
      <c r="HCA79" s="278" t="inlineStr"/>
      <c r="HCB79" s="278" t="inlineStr"/>
      <c r="HCC79" s="278" t="inlineStr"/>
      <c r="HCD79" s="278" t="inlineStr"/>
      <c r="HCE79" s="278" t="inlineStr"/>
      <c r="HCF79" s="278" t="inlineStr"/>
      <c r="HCG79" s="278" t="inlineStr"/>
      <c r="HCH79" s="278" t="inlineStr"/>
      <c r="HCI79" s="278" t="inlineStr"/>
      <c r="HCJ79" s="278" t="inlineStr"/>
      <c r="HCK79" s="278" t="inlineStr"/>
      <c r="HCL79" s="278" t="inlineStr"/>
      <c r="HCM79" s="278" t="inlineStr"/>
      <c r="HCN79" s="278" t="inlineStr"/>
      <c r="HCO79" s="278" t="inlineStr"/>
      <c r="HCP79" s="278" t="inlineStr"/>
      <c r="HCQ79" s="278" t="inlineStr"/>
      <c r="HCR79" s="278" t="inlineStr"/>
      <c r="HCS79" s="278" t="inlineStr"/>
      <c r="HCT79" s="278" t="inlineStr"/>
      <c r="HCU79" s="278" t="inlineStr"/>
      <c r="HCV79" s="278" t="inlineStr"/>
      <c r="HCW79" s="278" t="inlineStr"/>
      <c r="HCX79" s="278" t="inlineStr"/>
      <c r="HCY79" s="278" t="inlineStr"/>
      <c r="HCZ79" s="278" t="inlineStr"/>
      <c r="HDA79" s="278" t="inlineStr"/>
      <c r="HDB79" s="278" t="inlineStr"/>
      <c r="HDC79" s="278" t="inlineStr"/>
      <c r="HDD79" s="278" t="inlineStr"/>
      <c r="HDE79" s="278" t="inlineStr"/>
      <c r="HDF79" s="278" t="inlineStr"/>
      <c r="HDG79" s="278" t="inlineStr"/>
      <c r="HDH79" s="278" t="inlineStr"/>
      <c r="HDI79" s="278" t="inlineStr"/>
      <c r="HDJ79" s="278" t="inlineStr"/>
      <c r="HDK79" s="278" t="inlineStr"/>
      <c r="HDL79" s="278" t="inlineStr"/>
      <c r="HDM79" s="278" t="inlineStr"/>
      <c r="HDN79" s="278" t="inlineStr"/>
      <c r="HDO79" s="278" t="inlineStr"/>
      <c r="HDP79" s="278" t="inlineStr"/>
      <c r="HDQ79" s="278" t="inlineStr"/>
      <c r="HDR79" s="278" t="inlineStr"/>
      <c r="HDS79" s="278" t="inlineStr"/>
      <c r="HDT79" s="278" t="inlineStr"/>
      <c r="HDU79" s="278" t="inlineStr"/>
      <c r="HDV79" s="278" t="inlineStr"/>
      <c r="HDW79" s="278" t="inlineStr"/>
      <c r="HDX79" s="278" t="inlineStr"/>
      <c r="HDY79" s="278" t="inlineStr"/>
      <c r="HDZ79" s="278" t="inlineStr"/>
      <c r="HEA79" s="278" t="inlineStr"/>
      <c r="HEB79" s="278" t="inlineStr"/>
      <c r="HEC79" s="278" t="inlineStr"/>
      <c r="HED79" s="278" t="inlineStr"/>
      <c r="HEE79" s="278" t="inlineStr"/>
      <c r="HEF79" s="278" t="inlineStr"/>
      <c r="HEG79" s="278" t="inlineStr"/>
      <c r="HEH79" s="278" t="inlineStr"/>
      <c r="HEI79" s="278" t="inlineStr"/>
      <c r="HEJ79" s="278" t="inlineStr"/>
      <c r="HEK79" s="278" t="inlineStr"/>
      <c r="HEL79" s="278" t="inlineStr"/>
      <c r="HEM79" s="278" t="inlineStr"/>
      <c r="HEN79" s="278" t="inlineStr"/>
      <c r="HEO79" s="278" t="inlineStr"/>
      <c r="HEP79" s="278" t="inlineStr"/>
      <c r="HEQ79" s="278" t="inlineStr"/>
      <c r="HER79" s="278" t="inlineStr"/>
      <c r="HES79" s="278" t="inlineStr"/>
      <c r="HET79" s="278" t="inlineStr"/>
      <c r="HEU79" s="278" t="inlineStr"/>
      <c r="HEV79" s="278" t="inlineStr"/>
      <c r="HEW79" s="278" t="inlineStr"/>
      <c r="HEX79" s="278" t="inlineStr"/>
      <c r="HEY79" s="278" t="inlineStr"/>
      <c r="HEZ79" s="278" t="inlineStr"/>
      <c r="HFA79" s="278" t="inlineStr"/>
      <c r="HFB79" s="278" t="inlineStr"/>
      <c r="HFC79" s="278" t="inlineStr"/>
      <c r="HFD79" s="278" t="inlineStr"/>
      <c r="HFE79" s="278" t="inlineStr"/>
      <c r="HFF79" s="278" t="inlineStr"/>
      <c r="HFG79" s="278" t="inlineStr"/>
      <c r="HFH79" s="278" t="inlineStr"/>
      <c r="HFI79" s="278" t="inlineStr"/>
      <c r="HFJ79" s="278" t="inlineStr"/>
      <c r="HFK79" s="278" t="inlineStr"/>
      <c r="HFL79" s="278" t="inlineStr"/>
      <c r="HFM79" s="278" t="inlineStr"/>
      <c r="HFN79" s="278" t="inlineStr"/>
      <c r="HFO79" s="278" t="inlineStr"/>
      <c r="HFP79" s="278" t="inlineStr"/>
      <c r="HFQ79" s="278" t="inlineStr"/>
      <c r="HFR79" s="278" t="inlineStr"/>
      <c r="HFS79" s="278" t="inlineStr"/>
      <c r="HFT79" s="278" t="inlineStr"/>
      <c r="HFU79" s="278" t="inlineStr"/>
      <c r="HFV79" s="278" t="inlineStr"/>
      <c r="HFW79" s="278" t="inlineStr"/>
      <c r="HFX79" s="278" t="inlineStr"/>
      <c r="HFY79" s="278" t="inlineStr"/>
      <c r="HFZ79" s="278" t="inlineStr"/>
      <c r="HGA79" s="278" t="inlineStr"/>
      <c r="HGB79" s="278" t="inlineStr"/>
      <c r="HGC79" s="278" t="inlineStr"/>
      <c r="HGD79" s="278" t="inlineStr"/>
      <c r="HGE79" s="278" t="inlineStr"/>
      <c r="HGF79" s="278" t="inlineStr"/>
      <c r="HGG79" s="278" t="inlineStr"/>
      <c r="HGH79" s="278" t="inlineStr"/>
      <c r="HGI79" s="278" t="inlineStr"/>
      <c r="HGJ79" s="278" t="inlineStr"/>
      <c r="HGK79" s="278" t="inlineStr"/>
      <c r="HGL79" s="278" t="inlineStr"/>
      <c r="HGM79" s="278" t="inlineStr"/>
      <c r="HGN79" s="278" t="inlineStr"/>
      <c r="HGO79" s="278" t="inlineStr"/>
      <c r="HGP79" s="278" t="inlineStr"/>
      <c r="HGQ79" s="278" t="inlineStr"/>
      <c r="HGR79" s="278" t="inlineStr"/>
      <c r="HGS79" s="278" t="inlineStr"/>
      <c r="HGT79" s="278" t="inlineStr"/>
      <c r="HGU79" s="278" t="inlineStr"/>
      <c r="HGV79" s="278" t="inlineStr"/>
      <c r="HGW79" s="278" t="inlineStr"/>
      <c r="HGX79" s="278" t="inlineStr"/>
      <c r="HGY79" s="278" t="inlineStr"/>
      <c r="HGZ79" s="278" t="inlineStr"/>
      <c r="HHA79" s="278" t="inlineStr"/>
      <c r="HHB79" s="278" t="inlineStr"/>
      <c r="HHC79" s="278" t="inlineStr"/>
      <c r="HHD79" s="278" t="inlineStr"/>
      <c r="HHE79" s="278" t="inlineStr"/>
      <c r="HHF79" s="278" t="inlineStr"/>
      <c r="HHG79" s="278" t="inlineStr"/>
      <c r="HHH79" s="278" t="inlineStr"/>
      <c r="HHI79" s="278" t="inlineStr"/>
      <c r="HHJ79" s="278" t="inlineStr"/>
      <c r="HHK79" s="278" t="inlineStr"/>
      <c r="HHL79" s="278" t="inlineStr"/>
      <c r="HHM79" s="278" t="inlineStr"/>
      <c r="HHN79" s="278" t="inlineStr"/>
      <c r="HHO79" s="278" t="inlineStr"/>
      <c r="HHP79" s="278" t="inlineStr"/>
      <c r="HHQ79" s="278" t="inlineStr"/>
      <c r="HHR79" s="278" t="inlineStr"/>
      <c r="HHS79" s="278" t="inlineStr"/>
      <c r="HHT79" s="278" t="inlineStr"/>
      <c r="HHU79" s="278" t="inlineStr"/>
      <c r="HHV79" s="278" t="inlineStr"/>
      <c r="HHW79" s="278" t="inlineStr"/>
      <c r="HHX79" s="278" t="inlineStr"/>
      <c r="HHY79" s="278" t="inlineStr"/>
      <c r="HHZ79" s="278" t="inlineStr"/>
      <c r="HIA79" s="278" t="inlineStr"/>
      <c r="HIB79" s="278" t="inlineStr"/>
      <c r="HIC79" s="278" t="inlineStr"/>
      <c r="HID79" s="278" t="inlineStr"/>
      <c r="HIE79" s="278" t="inlineStr"/>
      <c r="HIF79" s="278" t="inlineStr"/>
      <c r="HIG79" s="278" t="inlineStr"/>
      <c r="HIH79" s="278" t="inlineStr"/>
      <c r="HII79" s="278" t="inlineStr"/>
      <c r="HIJ79" s="278" t="inlineStr"/>
      <c r="HIK79" s="278" t="inlineStr"/>
      <c r="HIL79" s="278" t="inlineStr"/>
      <c r="HIM79" s="278" t="inlineStr"/>
      <c r="HIN79" s="278" t="inlineStr"/>
      <c r="HIO79" s="278" t="inlineStr"/>
      <c r="HIP79" s="278" t="inlineStr"/>
      <c r="HIQ79" s="278" t="inlineStr"/>
      <c r="HIR79" s="278" t="inlineStr"/>
      <c r="HIS79" s="278" t="inlineStr"/>
      <c r="HIT79" s="278" t="inlineStr"/>
      <c r="HIU79" s="278" t="inlineStr"/>
      <c r="HIV79" s="278" t="inlineStr"/>
      <c r="HIW79" s="278" t="inlineStr"/>
      <c r="HIX79" s="278" t="inlineStr"/>
      <c r="HIY79" s="278" t="inlineStr"/>
      <c r="HIZ79" s="278" t="inlineStr"/>
      <c r="HJA79" s="278" t="inlineStr"/>
      <c r="HJB79" s="278" t="inlineStr"/>
      <c r="HJC79" s="278" t="inlineStr"/>
      <c r="HJD79" s="278" t="inlineStr"/>
      <c r="HJE79" s="278" t="inlineStr"/>
      <c r="HJF79" s="278" t="inlineStr"/>
      <c r="HJG79" s="278" t="inlineStr"/>
      <c r="HJH79" s="278" t="inlineStr"/>
      <c r="HJI79" s="278" t="inlineStr"/>
      <c r="HJJ79" s="278" t="inlineStr"/>
      <c r="HJK79" s="278" t="inlineStr"/>
      <c r="HJL79" s="278" t="inlineStr"/>
      <c r="HJM79" s="278" t="inlineStr"/>
      <c r="HJN79" s="278" t="inlineStr"/>
      <c r="HJO79" s="278" t="inlineStr"/>
      <c r="HJP79" s="278" t="inlineStr"/>
      <c r="HJQ79" s="278" t="inlineStr"/>
      <c r="HJR79" s="278" t="inlineStr"/>
      <c r="HJS79" s="278" t="inlineStr"/>
      <c r="HJT79" s="278" t="inlineStr"/>
      <c r="HJU79" s="278" t="inlineStr"/>
      <c r="HJV79" s="278" t="inlineStr"/>
      <c r="HJW79" s="278" t="inlineStr"/>
      <c r="HJX79" s="278" t="inlineStr"/>
      <c r="HJY79" s="278" t="inlineStr"/>
      <c r="HJZ79" s="278" t="inlineStr"/>
      <c r="HKA79" s="278" t="inlineStr"/>
      <c r="HKB79" s="278" t="inlineStr"/>
      <c r="HKC79" s="278" t="inlineStr"/>
      <c r="HKD79" s="278" t="inlineStr"/>
      <c r="HKE79" s="278" t="inlineStr"/>
      <c r="HKF79" s="278" t="inlineStr"/>
      <c r="HKG79" s="278" t="inlineStr"/>
      <c r="HKH79" s="278" t="inlineStr"/>
      <c r="HKI79" s="278" t="inlineStr"/>
      <c r="HKJ79" s="278" t="inlineStr"/>
      <c r="HKK79" s="278" t="inlineStr"/>
      <c r="HKL79" s="278" t="inlineStr"/>
      <c r="HKM79" s="278" t="inlineStr"/>
      <c r="HKN79" s="278" t="inlineStr"/>
      <c r="HKO79" s="278" t="inlineStr"/>
      <c r="HKP79" s="278" t="inlineStr"/>
      <c r="HKQ79" s="278" t="inlineStr"/>
      <c r="HKR79" s="278" t="inlineStr"/>
      <c r="HKS79" s="278" t="inlineStr"/>
      <c r="HKT79" s="278" t="inlineStr"/>
      <c r="HKU79" s="278" t="inlineStr"/>
      <c r="HKV79" s="278" t="inlineStr"/>
      <c r="HKW79" s="278" t="inlineStr"/>
      <c r="HKX79" s="278" t="inlineStr"/>
      <c r="HKY79" s="278" t="inlineStr"/>
      <c r="HKZ79" s="278" t="inlineStr"/>
      <c r="HLA79" s="278" t="inlineStr"/>
      <c r="HLB79" s="278" t="inlineStr"/>
      <c r="HLC79" s="278" t="inlineStr"/>
      <c r="HLD79" s="278" t="inlineStr"/>
      <c r="HLE79" s="278" t="inlineStr"/>
      <c r="HLF79" s="278" t="inlineStr"/>
      <c r="HLG79" s="278" t="inlineStr"/>
      <c r="HLH79" s="278" t="inlineStr"/>
      <c r="HLI79" s="278" t="inlineStr"/>
      <c r="HLJ79" s="278" t="inlineStr"/>
      <c r="HLK79" s="278" t="inlineStr"/>
      <c r="HLL79" s="278" t="inlineStr"/>
      <c r="HLM79" s="278" t="inlineStr"/>
      <c r="HLN79" s="278" t="inlineStr"/>
      <c r="HLO79" s="278" t="inlineStr"/>
      <c r="HLP79" s="278" t="inlineStr"/>
      <c r="HLQ79" s="278" t="inlineStr"/>
      <c r="HLR79" s="278" t="inlineStr"/>
      <c r="HLS79" s="278" t="inlineStr"/>
      <c r="HLT79" s="278" t="inlineStr"/>
      <c r="HLU79" s="278" t="inlineStr"/>
      <c r="HLV79" s="278" t="inlineStr"/>
      <c r="HLW79" s="278" t="inlineStr"/>
      <c r="HLX79" s="278" t="inlineStr"/>
      <c r="HLY79" s="278" t="inlineStr"/>
      <c r="HLZ79" s="278" t="inlineStr"/>
      <c r="HMA79" s="278" t="inlineStr"/>
      <c r="HMB79" s="278" t="inlineStr"/>
      <c r="HMC79" s="278" t="inlineStr"/>
      <c r="HMD79" s="278" t="inlineStr"/>
      <c r="HME79" s="278" t="inlineStr"/>
      <c r="HMF79" s="278" t="inlineStr"/>
      <c r="HMG79" s="278" t="inlineStr"/>
      <c r="HMH79" s="278" t="inlineStr"/>
      <c r="HMI79" s="278" t="inlineStr"/>
      <c r="HMJ79" s="278" t="inlineStr"/>
      <c r="HMK79" s="278" t="inlineStr"/>
      <c r="HML79" s="278" t="inlineStr"/>
      <c r="HMM79" s="278" t="inlineStr"/>
      <c r="HMN79" s="278" t="inlineStr"/>
      <c r="HMO79" s="278" t="inlineStr"/>
      <c r="HMP79" s="278" t="inlineStr"/>
      <c r="HMQ79" s="278" t="inlineStr"/>
      <c r="HMR79" s="278" t="inlineStr"/>
      <c r="HMS79" s="278" t="inlineStr"/>
      <c r="HMT79" s="278" t="inlineStr"/>
      <c r="HMU79" s="278" t="inlineStr"/>
      <c r="HMV79" s="278" t="inlineStr"/>
      <c r="HMW79" s="278" t="inlineStr"/>
      <c r="HMX79" s="278" t="inlineStr"/>
      <c r="HMY79" s="278" t="inlineStr"/>
      <c r="HMZ79" s="278" t="inlineStr"/>
      <c r="HNA79" s="278" t="inlineStr"/>
      <c r="HNB79" s="278" t="inlineStr"/>
      <c r="HNC79" s="278" t="inlineStr"/>
      <c r="HND79" s="278" t="inlineStr"/>
      <c r="HNE79" s="278" t="inlineStr"/>
      <c r="HNF79" s="278" t="inlineStr"/>
      <c r="HNG79" s="278" t="inlineStr"/>
      <c r="HNH79" s="278" t="inlineStr"/>
      <c r="HNI79" s="278" t="inlineStr"/>
      <c r="HNJ79" s="278" t="inlineStr"/>
      <c r="HNK79" s="278" t="inlineStr"/>
      <c r="HNL79" s="278" t="inlineStr"/>
      <c r="HNM79" s="278" t="inlineStr"/>
      <c r="HNN79" s="278" t="inlineStr"/>
      <c r="HNO79" s="278" t="inlineStr"/>
      <c r="HNP79" s="278" t="inlineStr"/>
      <c r="HNQ79" s="278" t="inlineStr"/>
      <c r="HNR79" s="278" t="inlineStr"/>
      <c r="HNS79" s="278" t="inlineStr"/>
      <c r="HNT79" s="278" t="inlineStr"/>
      <c r="HNU79" s="278" t="inlineStr"/>
      <c r="HNV79" s="278" t="inlineStr"/>
      <c r="HNW79" s="278" t="inlineStr"/>
      <c r="HNX79" s="278" t="inlineStr"/>
      <c r="HNY79" s="278" t="inlineStr"/>
      <c r="HNZ79" s="278" t="inlineStr"/>
      <c r="HOA79" s="278" t="inlineStr"/>
      <c r="HOB79" s="278" t="inlineStr"/>
      <c r="HOC79" s="278" t="inlineStr"/>
      <c r="HOD79" s="278" t="inlineStr"/>
      <c r="HOE79" s="278" t="inlineStr"/>
      <c r="HOF79" s="278" t="inlineStr"/>
      <c r="HOG79" s="278" t="inlineStr"/>
      <c r="HOH79" s="278" t="inlineStr"/>
      <c r="HOI79" s="278" t="inlineStr"/>
      <c r="HOJ79" s="278" t="inlineStr"/>
      <c r="HOK79" s="278" t="inlineStr"/>
      <c r="HOL79" s="278" t="inlineStr"/>
      <c r="HOM79" s="278" t="inlineStr"/>
      <c r="HON79" s="278" t="inlineStr"/>
      <c r="HOO79" s="278" t="inlineStr"/>
      <c r="HOP79" s="278" t="inlineStr"/>
      <c r="HOQ79" s="278" t="inlineStr"/>
      <c r="HOR79" s="278" t="inlineStr"/>
      <c r="HOS79" s="278" t="inlineStr"/>
      <c r="HOT79" s="278" t="inlineStr"/>
      <c r="HOU79" s="278" t="inlineStr"/>
      <c r="HOV79" s="278" t="inlineStr"/>
      <c r="HOW79" s="278" t="inlineStr"/>
      <c r="HOX79" s="278" t="inlineStr"/>
      <c r="HOY79" s="278" t="inlineStr"/>
      <c r="HOZ79" s="278" t="inlineStr"/>
      <c r="HPA79" s="278" t="inlineStr"/>
      <c r="HPB79" s="278" t="inlineStr"/>
      <c r="HPC79" s="278" t="inlineStr"/>
      <c r="HPD79" s="278" t="inlineStr"/>
      <c r="HPE79" s="278" t="inlineStr"/>
      <c r="HPF79" s="278" t="inlineStr"/>
      <c r="HPG79" s="278" t="inlineStr"/>
      <c r="HPH79" s="278" t="inlineStr"/>
      <c r="HPI79" s="278" t="inlineStr"/>
      <c r="HPJ79" s="278" t="inlineStr"/>
      <c r="HPK79" s="278" t="inlineStr"/>
      <c r="HPL79" s="278" t="inlineStr"/>
      <c r="HPM79" s="278" t="inlineStr"/>
      <c r="HPN79" s="278" t="inlineStr"/>
      <c r="HPO79" s="278" t="inlineStr"/>
      <c r="HPP79" s="278" t="inlineStr"/>
      <c r="HPQ79" s="278" t="inlineStr"/>
      <c r="HPR79" s="278" t="inlineStr"/>
      <c r="HPS79" s="278" t="inlineStr"/>
      <c r="HPT79" s="278" t="inlineStr"/>
      <c r="HPU79" s="278" t="inlineStr"/>
      <c r="HPV79" s="278" t="inlineStr"/>
      <c r="HPW79" s="278" t="inlineStr"/>
      <c r="HPX79" s="278" t="inlineStr"/>
      <c r="HPY79" s="278" t="inlineStr"/>
      <c r="HPZ79" s="278" t="inlineStr"/>
      <c r="HQA79" s="278" t="inlineStr"/>
      <c r="HQB79" s="278" t="inlineStr"/>
      <c r="HQC79" s="278" t="inlineStr"/>
      <c r="HQD79" s="278" t="inlineStr"/>
      <c r="HQE79" s="278" t="inlineStr"/>
      <c r="HQF79" s="278" t="inlineStr"/>
      <c r="HQG79" s="278" t="inlineStr"/>
      <c r="HQH79" s="278" t="inlineStr"/>
      <c r="HQI79" s="278" t="inlineStr"/>
      <c r="HQJ79" s="278" t="inlineStr"/>
      <c r="HQK79" s="278" t="inlineStr"/>
      <c r="HQL79" s="278" t="inlineStr"/>
      <c r="HQM79" s="278" t="inlineStr"/>
      <c r="HQN79" s="278" t="inlineStr"/>
      <c r="HQO79" s="278" t="inlineStr"/>
      <c r="HQP79" s="278" t="inlineStr"/>
      <c r="HQQ79" s="278" t="inlineStr"/>
      <c r="HQR79" s="278" t="inlineStr"/>
      <c r="HQS79" s="278" t="inlineStr"/>
      <c r="HQT79" s="278" t="inlineStr"/>
      <c r="HQU79" s="278" t="inlineStr"/>
      <c r="HQV79" s="278" t="inlineStr"/>
      <c r="HQW79" s="278" t="inlineStr"/>
      <c r="HQX79" s="278" t="inlineStr"/>
      <c r="HQY79" s="278" t="inlineStr"/>
      <c r="HQZ79" s="278" t="inlineStr"/>
      <c r="HRA79" s="278" t="inlineStr"/>
      <c r="HRB79" s="278" t="inlineStr"/>
      <c r="HRC79" s="278" t="inlineStr"/>
      <c r="HRD79" s="278" t="inlineStr"/>
      <c r="HRE79" s="278" t="inlineStr"/>
      <c r="HRF79" s="278" t="inlineStr"/>
      <c r="HRG79" s="278" t="inlineStr"/>
      <c r="HRH79" s="278" t="inlineStr"/>
      <c r="HRI79" s="278" t="inlineStr"/>
      <c r="HRJ79" s="278" t="inlineStr"/>
      <c r="HRK79" s="278" t="inlineStr"/>
      <c r="HRL79" s="278" t="inlineStr"/>
      <c r="HRM79" s="278" t="inlineStr"/>
      <c r="HRN79" s="278" t="inlineStr"/>
      <c r="HRO79" s="278" t="inlineStr"/>
      <c r="HRP79" s="278" t="inlineStr"/>
      <c r="HRQ79" s="278" t="inlineStr"/>
      <c r="HRR79" s="278" t="inlineStr"/>
      <c r="HRS79" s="278" t="inlineStr"/>
      <c r="HRT79" s="278" t="inlineStr"/>
      <c r="HRU79" s="278" t="inlineStr"/>
      <c r="HRV79" s="278" t="inlineStr"/>
      <c r="HRW79" s="278" t="inlineStr"/>
      <c r="HRX79" s="278" t="inlineStr"/>
      <c r="HRY79" s="278" t="inlineStr"/>
      <c r="HRZ79" s="278" t="inlineStr"/>
      <c r="HSA79" s="278" t="inlineStr"/>
      <c r="HSB79" s="278" t="inlineStr"/>
      <c r="HSC79" s="278" t="inlineStr"/>
      <c r="HSD79" s="278" t="inlineStr"/>
      <c r="HSE79" s="278" t="inlineStr"/>
      <c r="HSF79" s="278" t="inlineStr"/>
      <c r="HSG79" s="278" t="inlineStr"/>
      <c r="HSH79" s="278" t="inlineStr"/>
      <c r="HSI79" s="278" t="inlineStr"/>
      <c r="HSJ79" s="278" t="inlineStr"/>
      <c r="HSK79" s="278" t="inlineStr"/>
      <c r="HSL79" s="278" t="inlineStr"/>
      <c r="HSM79" s="278" t="inlineStr"/>
      <c r="HSN79" s="278" t="inlineStr"/>
      <c r="HSO79" s="278" t="inlineStr"/>
      <c r="HSP79" s="278" t="inlineStr"/>
      <c r="HSQ79" s="278" t="inlineStr"/>
      <c r="HSR79" s="278" t="inlineStr"/>
      <c r="HSS79" s="278" t="inlineStr"/>
      <c r="HST79" s="278" t="inlineStr"/>
      <c r="HSU79" s="278" t="inlineStr"/>
      <c r="HSV79" s="278" t="inlineStr"/>
      <c r="HSW79" s="278" t="inlineStr"/>
      <c r="HSX79" s="278" t="inlineStr"/>
      <c r="HSY79" s="278" t="inlineStr"/>
      <c r="HSZ79" s="278" t="inlineStr"/>
      <c r="HTA79" s="278" t="inlineStr"/>
      <c r="HTB79" s="278" t="inlineStr"/>
      <c r="HTC79" s="278" t="inlineStr"/>
      <c r="HTD79" s="278" t="inlineStr"/>
      <c r="HTE79" s="278" t="inlineStr"/>
      <c r="HTF79" s="278" t="inlineStr"/>
      <c r="HTG79" s="278" t="inlineStr"/>
      <c r="HTH79" s="278" t="inlineStr"/>
      <c r="HTI79" s="278" t="inlineStr"/>
      <c r="HTJ79" s="278" t="inlineStr"/>
      <c r="HTK79" s="278" t="inlineStr"/>
      <c r="HTL79" s="278" t="inlineStr"/>
      <c r="HTM79" s="278" t="inlineStr"/>
      <c r="HTN79" s="278" t="inlineStr"/>
      <c r="HTO79" s="278" t="inlineStr"/>
      <c r="HTP79" s="278" t="inlineStr"/>
      <c r="HTQ79" s="278" t="inlineStr"/>
      <c r="HTR79" s="278" t="inlineStr"/>
      <c r="HTS79" s="278" t="inlineStr"/>
      <c r="HTT79" s="278" t="inlineStr"/>
      <c r="HTU79" s="278" t="inlineStr"/>
      <c r="HTV79" s="278" t="inlineStr"/>
      <c r="HTW79" s="278" t="inlineStr"/>
      <c r="HTX79" s="278" t="inlineStr"/>
      <c r="HTY79" s="278" t="inlineStr"/>
      <c r="HTZ79" s="278" t="inlineStr"/>
      <c r="HUA79" s="278" t="inlineStr"/>
      <c r="HUB79" s="278" t="inlineStr"/>
      <c r="HUC79" s="278" t="inlineStr"/>
      <c r="HUD79" s="278" t="inlineStr"/>
      <c r="HUE79" s="278" t="inlineStr"/>
      <c r="HUF79" s="278" t="inlineStr"/>
      <c r="HUG79" s="278" t="inlineStr"/>
      <c r="HUH79" s="278" t="inlineStr"/>
      <c r="HUI79" s="278" t="inlineStr"/>
      <c r="HUJ79" s="278" t="inlineStr"/>
      <c r="HUK79" s="278" t="inlineStr"/>
      <c r="HUL79" s="278" t="inlineStr"/>
      <c r="HUM79" s="278" t="inlineStr"/>
      <c r="HUN79" s="278" t="inlineStr"/>
      <c r="HUO79" s="278" t="inlineStr"/>
      <c r="HUP79" s="278" t="inlineStr"/>
      <c r="HUQ79" s="278" t="inlineStr"/>
      <c r="HUR79" s="278" t="inlineStr"/>
      <c r="HUS79" s="278" t="inlineStr"/>
      <c r="HUT79" s="278" t="inlineStr"/>
      <c r="HUU79" s="278" t="inlineStr"/>
      <c r="HUV79" s="278" t="inlineStr"/>
      <c r="HUW79" s="278" t="inlineStr"/>
      <c r="HUX79" s="278" t="inlineStr"/>
      <c r="HUY79" s="278" t="inlineStr"/>
      <c r="HUZ79" s="278" t="inlineStr"/>
      <c r="HVA79" s="278" t="inlineStr"/>
      <c r="HVB79" s="278" t="inlineStr"/>
      <c r="HVC79" s="278" t="inlineStr"/>
      <c r="HVD79" s="278" t="inlineStr"/>
      <c r="HVE79" s="278" t="inlineStr"/>
      <c r="HVF79" s="278" t="inlineStr"/>
      <c r="HVG79" s="278" t="inlineStr"/>
      <c r="HVH79" s="278" t="inlineStr"/>
      <c r="HVI79" s="278" t="inlineStr"/>
      <c r="HVJ79" s="278" t="inlineStr"/>
      <c r="HVK79" s="278" t="inlineStr"/>
      <c r="HVL79" s="278" t="inlineStr"/>
      <c r="HVM79" s="278" t="inlineStr"/>
      <c r="HVN79" s="278" t="inlineStr"/>
      <c r="HVO79" s="278" t="inlineStr"/>
      <c r="HVP79" s="278" t="inlineStr"/>
      <c r="HVQ79" s="278" t="inlineStr"/>
      <c r="HVR79" s="278" t="inlineStr"/>
      <c r="HVS79" s="278" t="inlineStr"/>
      <c r="HVT79" s="278" t="inlineStr"/>
      <c r="HVU79" s="278" t="inlineStr"/>
      <c r="HVV79" s="278" t="inlineStr"/>
      <c r="HVW79" s="278" t="inlineStr"/>
      <c r="HVX79" s="278" t="inlineStr"/>
      <c r="HVY79" s="278" t="inlineStr"/>
      <c r="HVZ79" s="278" t="inlineStr"/>
      <c r="HWA79" s="278" t="inlineStr"/>
      <c r="HWB79" s="278" t="inlineStr"/>
      <c r="HWC79" s="278" t="inlineStr"/>
      <c r="HWD79" s="278" t="inlineStr"/>
      <c r="HWE79" s="278" t="inlineStr"/>
      <c r="HWF79" s="278" t="inlineStr"/>
      <c r="HWG79" s="278" t="inlineStr"/>
      <c r="HWH79" s="278" t="inlineStr"/>
      <c r="HWI79" s="278" t="inlineStr"/>
      <c r="HWJ79" s="278" t="inlineStr"/>
      <c r="HWK79" s="278" t="inlineStr"/>
      <c r="HWL79" s="278" t="inlineStr"/>
      <c r="HWM79" s="278" t="inlineStr"/>
      <c r="HWN79" s="278" t="inlineStr"/>
      <c r="HWO79" s="278" t="inlineStr"/>
      <c r="HWP79" s="278" t="inlineStr"/>
      <c r="HWQ79" s="278" t="inlineStr"/>
      <c r="HWR79" s="278" t="inlineStr"/>
      <c r="HWS79" s="278" t="inlineStr"/>
      <c r="HWT79" s="278" t="inlineStr"/>
      <c r="HWU79" s="278" t="inlineStr"/>
      <c r="HWV79" s="278" t="inlineStr"/>
      <c r="HWW79" s="278" t="inlineStr"/>
      <c r="HWX79" s="278" t="inlineStr"/>
      <c r="HWY79" s="278" t="inlineStr"/>
      <c r="HWZ79" s="278" t="inlineStr"/>
      <c r="HXA79" s="278" t="inlineStr"/>
      <c r="HXB79" s="278" t="inlineStr"/>
      <c r="HXC79" s="278" t="inlineStr"/>
      <c r="HXD79" s="278" t="inlineStr"/>
      <c r="HXE79" s="278" t="inlineStr"/>
      <c r="HXF79" s="278" t="inlineStr"/>
      <c r="HXG79" s="278" t="inlineStr"/>
      <c r="HXH79" s="278" t="inlineStr"/>
      <c r="HXI79" s="278" t="inlineStr"/>
      <c r="HXJ79" s="278" t="inlineStr"/>
      <c r="HXK79" s="278" t="inlineStr"/>
      <c r="HXL79" s="278" t="inlineStr"/>
      <c r="HXM79" s="278" t="inlineStr"/>
      <c r="HXN79" s="278" t="inlineStr"/>
      <c r="HXO79" s="278" t="inlineStr"/>
      <c r="HXP79" s="278" t="inlineStr"/>
      <c r="HXQ79" s="278" t="inlineStr"/>
      <c r="HXR79" s="278" t="inlineStr"/>
      <c r="HXS79" s="278" t="inlineStr"/>
      <c r="HXT79" s="278" t="inlineStr"/>
      <c r="HXU79" s="278" t="inlineStr"/>
      <c r="HXV79" s="278" t="inlineStr"/>
      <c r="HXW79" s="278" t="inlineStr"/>
      <c r="HXX79" s="278" t="inlineStr"/>
      <c r="HXY79" s="278" t="inlineStr"/>
      <c r="HXZ79" s="278" t="inlineStr"/>
      <c r="HYA79" s="278" t="inlineStr"/>
      <c r="HYB79" s="278" t="inlineStr"/>
      <c r="HYC79" s="278" t="inlineStr"/>
      <c r="HYD79" s="278" t="inlineStr"/>
      <c r="HYE79" s="278" t="inlineStr"/>
      <c r="HYF79" s="278" t="inlineStr"/>
      <c r="HYG79" s="278" t="inlineStr"/>
      <c r="HYH79" s="278" t="inlineStr"/>
      <c r="HYI79" s="278" t="inlineStr"/>
      <c r="HYJ79" s="278" t="inlineStr"/>
      <c r="HYK79" s="278" t="inlineStr"/>
      <c r="HYL79" s="278" t="inlineStr"/>
      <c r="HYM79" s="278" t="inlineStr"/>
      <c r="HYN79" s="278" t="inlineStr"/>
      <c r="HYO79" s="278" t="inlineStr"/>
      <c r="HYP79" s="278" t="inlineStr"/>
      <c r="HYQ79" s="278" t="inlineStr"/>
      <c r="HYR79" s="278" t="inlineStr"/>
      <c r="HYS79" s="278" t="inlineStr"/>
      <c r="HYT79" s="278" t="inlineStr"/>
      <c r="HYU79" s="278" t="inlineStr"/>
      <c r="HYV79" s="278" t="inlineStr"/>
      <c r="HYW79" s="278" t="inlineStr"/>
      <c r="HYX79" s="278" t="inlineStr"/>
      <c r="HYY79" s="278" t="inlineStr"/>
      <c r="HYZ79" s="278" t="inlineStr"/>
      <c r="HZA79" s="278" t="inlineStr"/>
      <c r="HZB79" s="278" t="inlineStr"/>
      <c r="HZC79" s="278" t="inlineStr"/>
      <c r="HZD79" s="278" t="inlineStr"/>
      <c r="HZE79" s="278" t="inlineStr"/>
      <c r="HZF79" s="278" t="inlineStr"/>
      <c r="HZG79" s="278" t="inlineStr"/>
      <c r="HZH79" s="278" t="inlineStr"/>
      <c r="HZI79" s="278" t="inlineStr"/>
      <c r="HZJ79" s="278" t="inlineStr"/>
      <c r="HZK79" s="278" t="inlineStr"/>
      <c r="HZL79" s="278" t="inlineStr"/>
      <c r="HZM79" s="278" t="inlineStr"/>
      <c r="HZN79" s="278" t="inlineStr"/>
      <c r="HZO79" s="278" t="inlineStr"/>
      <c r="HZP79" s="278" t="inlineStr"/>
      <c r="HZQ79" s="278" t="inlineStr"/>
      <c r="HZR79" s="278" t="inlineStr"/>
      <c r="HZS79" s="278" t="inlineStr"/>
      <c r="HZT79" s="278" t="inlineStr"/>
      <c r="HZU79" s="278" t="inlineStr"/>
      <c r="HZV79" s="278" t="inlineStr"/>
      <c r="HZW79" s="278" t="inlineStr"/>
      <c r="HZX79" s="278" t="inlineStr"/>
      <c r="HZY79" s="278" t="inlineStr"/>
      <c r="HZZ79" s="278" t="inlineStr"/>
      <c r="IAA79" s="278" t="inlineStr"/>
      <c r="IAB79" s="278" t="inlineStr"/>
      <c r="IAC79" s="278" t="inlineStr"/>
      <c r="IAD79" s="278" t="inlineStr"/>
      <c r="IAE79" s="278" t="inlineStr"/>
      <c r="IAF79" s="278" t="inlineStr"/>
      <c r="IAG79" s="278" t="inlineStr"/>
      <c r="IAH79" s="278" t="inlineStr"/>
      <c r="IAI79" s="278" t="inlineStr"/>
      <c r="IAJ79" s="278" t="inlineStr"/>
      <c r="IAK79" s="278" t="inlineStr"/>
      <c r="IAL79" s="278" t="inlineStr"/>
      <c r="IAM79" s="278" t="inlineStr"/>
      <c r="IAN79" s="278" t="inlineStr"/>
      <c r="IAO79" s="278" t="inlineStr"/>
      <c r="IAP79" s="278" t="inlineStr"/>
      <c r="IAQ79" s="278" t="inlineStr"/>
      <c r="IAR79" s="278" t="inlineStr"/>
      <c r="IAS79" s="278" t="inlineStr"/>
      <c r="IAT79" s="278" t="inlineStr"/>
      <c r="IAU79" s="278" t="inlineStr"/>
      <c r="IAV79" s="278" t="inlineStr"/>
      <c r="IAW79" s="278" t="inlineStr"/>
      <c r="IAX79" s="278" t="inlineStr"/>
      <c r="IAY79" s="278" t="inlineStr"/>
      <c r="IAZ79" s="278" t="inlineStr"/>
      <c r="IBA79" s="278" t="inlineStr"/>
      <c r="IBB79" s="278" t="inlineStr"/>
      <c r="IBC79" s="278" t="inlineStr"/>
      <c r="IBD79" s="278" t="inlineStr"/>
      <c r="IBE79" s="278" t="inlineStr"/>
      <c r="IBF79" s="278" t="inlineStr"/>
      <c r="IBG79" s="278" t="inlineStr"/>
      <c r="IBH79" s="278" t="inlineStr"/>
      <c r="IBI79" s="278" t="inlineStr"/>
      <c r="IBJ79" s="278" t="inlineStr"/>
      <c r="IBK79" s="278" t="inlineStr"/>
      <c r="IBL79" s="278" t="inlineStr"/>
      <c r="IBM79" s="278" t="inlineStr"/>
      <c r="IBN79" s="278" t="inlineStr"/>
      <c r="IBO79" s="278" t="inlineStr"/>
      <c r="IBP79" s="278" t="inlineStr"/>
      <c r="IBQ79" s="278" t="inlineStr"/>
      <c r="IBR79" s="278" t="inlineStr"/>
      <c r="IBS79" s="278" t="inlineStr"/>
      <c r="IBT79" s="278" t="inlineStr"/>
      <c r="IBU79" s="278" t="inlineStr"/>
      <c r="IBV79" s="278" t="inlineStr"/>
      <c r="IBW79" s="278" t="inlineStr"/>
      <c r="IBX79" s="278" t="inlineStr"/>
      <c r="IBY79" s="278" t="inlineStr"/>
      <c r="IBZ79" s="278" t="inlineStr"/>
      <c r="ICA79" s="278" t="inlineStr"/>
      <c r="ICB79" s="278" t="inlineStr"/>
      <c r="ICC79" s="278" t="inlineStr"/>
      <c r="ICD79" s="278" t="inlineStr"/>
      <c r="ICE79" s="278" t="inlineStr"/>
      <c r="ICF79" s="278" t="inlineStr"/>
      <c r="ICG79" s="278" t="inlineStr"/>
      <c r="ICH79" s="278" t="inlineStr"/>
      <c r="ICI79" s="278" t="inlineStr"/>
      <c r="ICJ79" s="278" t="inlineStr"/>
      <c r="ICK79" s="278" t="inlineStr"/>
      <c r="ICL79" s="278" t="inlineStr"/>
      <c r="ICM79" s="278" t="inlineStr"/>
      <c r="ICN79" s="278" t="inlineStr"/>
      <c r="ICO79" s="278" t="inlineStr"/>
      <c r="ICP79" s="278" t="inlineStr"/>
      <c r="ICQ79" s="278" t="inlineStr"/>
      <c r="ICR79" s="278" t="inlineStr"/>
      <c r="ICS79" s="278" t="inlineStr"/>
      <c r="ICT79" s="278" t="inlineStr"/>
      <c r="ICU79" s="278" t="inlineStr"/>
      <c r="ICV79" s="278" t="inlineStr"/>
      <c r="ICW79" s="278" t="inlineStr"/>
      <c r="ICX79" s="278" t="inlineStr"/>
      <c r="ICY79" s="278" t="inlineStr"/>
      <c r="ICZ79" s="278" t="inlineStr"/>
      <c r="IDA79" s="278" t="inlineStr"/>
      <c r="IDB79" s="278" t="inlineStr"/>
      <c r="IDC79" s="278" t="inlineStr"/>
      <c r="IDD79" s="278" t="inlineStr"/>
      <c r="IDE79" s="278" t="inlineStr"/>
      <c r="IDF79" s="278" t="inlineStr"/>
      <c r="IDG79" s="278" t="inlineStr"/>
      <c r="IDH79" s="278" t="inlineStr"/>
      <c r="IDI79" s="278" t="inlineStr"/>
      <c r="IDJ79" s="278" t="inlineStr"/>
      <c r="IDK79" s="278" t="inlineStr"/>
      <c r="IDL79" s="278" t="inlineStr"/>
      <c r="IDM79" s="278" t="inlineStr"/>
      <c r="IDN79" s="278" t="inlineStr"/>
      <c r="IDO79" s="278" t="inlineStr"/>
      <c r="IDP79" s="278" t="inlineStr"/>
      <c r="IDQ79" s="278" t="inlineStr"/>
      <c r="IDR79" s="278" t="inlineStr"/>
      <c r="IDS79" s="278" t="inlineStr"/>
      <c r="IDT79" s="278" t="inlineStr"/>
      <c r="IDU79" s="278" t="inlineStr"/>
      <c r="IDV79" s="278" t="inlineStr"/>
      <c r="IDW79" s="278" t="inlineStr"/>
      <c r="IDX79" s="278" t="inlineStr"/>
      <c r="IDY79" s="278" t="inlineStr"/>
      <c r="IDZ79" s="278" t="inlineStr"/>
      <c r="IEA79" s="278" t="inlineStr"/>
      <c r="IEB79" s="278" t="inlineStr"/>
      <c r="IEC79" s="278" t="inlineStr"/>
      <c r="IED79" s="278" t="inlineStr"/>
      <c r="IEE79" s="278" t="inlineStr"/>
      <c r="IEF79" s="278" t="inlineStr"/>
      <c r="IEG79" s="278" t="inlineStr"/>
      <c r="IEH79" s="278" t="inlineStr"/>
      <c r="IEI79" s="278" t="inlineStr"/>
      <c r="IEJ79" s="278" t="inlineStr"/>
      <c r="IEK79" s="278" t="inlineStr"/>
      <c r="IEL79" s="278" t="inlineStr"/>
      <c r="IEM79" s="278" t="inlineStr"/>
      <c r="IEN79" s="278" t="inlineStr"/>
      <c r="IEO79" s="278" t="inlineStr"/>
      <c r="IEP79" s="278" t="inlineStr"/>
      <c r="IEQ79" s="278" t="inlineStr"/>
      <c r="IER79" s="278" t="inlineStr"/>
      <c r="IES79" s="278" t="inlineStr"/>
      <c r="IET79" s="278" t="inlineStr"/>
      <c r="IEU79" s="278" t="inlineStr"/>
      <c r="IEV79" s="278" t="inlineStr"/>
      <c r="IEW79" s="278" t="inlineStr"/>
      <c r="IEX79" s="278" t="inlineStr"/>
      <c r="IEY79" s="278" t="inlineStr"/>
      <c r="IEZ79" s="278" t="inlineStr"/>
      <c r="IFA79" s="278" t="inlineStr"/>
      <c r="IFB79" s="278" t="inlineStr"/>
      <c r="IFC79" s="278" t="inlineStr"/>
      <c r="IFD79" s="278" t="inlineStr"/>
      <c r="IFE79" s="278" t="inlineStr"/>
      <c r="IFF79" s="278" t="inlineStr"/>
      <c r="IFG79" s="278" t="inlineStr"/>
      <c r="IFH79" s="278" t="inlineStr"/>
      <c r="IFI79" s="278" t="inlineStr"/>
      <c r="IFJ79" s="278" t="inlineStr"/>
      <c r="IFK79" s="278" t="inlineStr"/>
      <c r="IFL79" s="278" t="inlineStr"/>
      <c r="IFM79" s="278" t="inlineStr"/>
      <c r="IFN79" s="278" t="inlineStr"/>
      <c r="IFO79" s="278" t="inlineStr"/>
      <c r="IFP79" s="278" t="inlineStr"/>
      <c r="IFQ79" s="278" t="inlineStr"/>
      <c r="IFR79" s="278" t="inlineStr"/>
      <c r="IFS79" s="278" t="inlineStr"/>
      <c r="IFT79" s="278" t="inlineStr"/>
      <c r="IFU79" s="278" t="inlineStr"/>
      <c r="IFV79" s="278" t="inlineStr"/>
      <c r="IFW79" s="278" t="inlineStr"/>
      <c r="IFX79" s="278" t="inlineStr"/>
      <c r="IFY79" s="278" t="inlineStr"/>
      <c r="IFZ79" s="278" t="inlineStr"/>
      <c r="IGA79" s="278" t="inlineStr"/>
      <c r="IGB79" s="278" t="inlineStr"/>
      <c r="IGC79" s="278" t="inlineStr"/>
      <c r="IGD79" s="278" t="inlineStr"/>
      <c r="IGE79" s="278" t="inlineStr"/>
      <c r="IGF79" s="278" t="inlineStr"/>
      <c r="IGG79" s="278" t="inlineStr"/>
      <c r="IGH79" s="278" t="inlineStr"/>
      <c r="IGI79" s="278" t="inlineStr"/>
      <c r="IGJ79" s="278" t="inlineStr"/>
      <c r="IGK79" s="278" t="inlineStr"/>
      <c r="IGL79" s="278" t="inlineStr"/>
      <c r="IGM79" s="278" t="inlineStr"/>
      <c r="IGN79" s="278" t="inlineStr"/>
      <c r="IGO79" s="278" t="inlineStr"/>
      <c r="IGP79" s="278" t="inlineStr"/>
      <c r="IGQ79" s="278" t="inlineStr"/>
      <c r="IGR79" s="278" t="inlineStr"/>
      <c r="IGS79" s="278" t="inlineStr"/>
      <c r="IGT79" s="278" t="inlineStr"/>
      <c r="IGU79" s="278" t="inlineStr"/>
      <c r="IGV79" s="278" t="inlineStr"/>
      <c r="IGW79" s="278" t="inlineStr"/>
      <c r="IGX79" s="278" t="inlineStr"/>
      <c r="IGY79" s="278" t="inlineStr"/>
      <c r="IGZ79" s="278" t="inlineStr"/>
      <c r="IHA79" s="278" t="inlineStr"/>
      <c r="IHB79" s="278" t="inlineStr"/>
      <c r="IHC79" s="278" t="inlineStr"/>
      <c r="IHD79" s="278" t="inlineStr"/>
      <c r="IHE79" s="278" t="inlineStr"/>
      <c r="IHF79" s="278" t="inlineStr"/>
      <c r="IHG79" s="278" t="inlineStr"/>
      <c r="IHH79" s="278" t="inlineStr"/>
      <c r="IHI79" s="278" t="inlineStr"/>
      <c r="IHJ79" s="278" t="inlineStr"/>
      <c r="IHK79" s="278" t="inlineStr"/>
      <c r="IHL79" s="278" t="inlineStr"/>
      <c r="IHM79" s="278" t="inlineStr"/>
      <c r="IHN79" s="278" t="inlineStr"/>
      <c r="IHO79" s="278" t="inlineStr"/>
      <c r="IHP79" s="278" t="inlineStr"/>
      <c r="IHQ79" s="278" t="inlineStr"/>
      <c r="IHR79" s="278" t="inlineStr"/>
      <c r="IHS79" s="278" t="inlineStr"/>
      <c r="IHT79" s="278" t="inlineStr"/>
      <c r="IHU79" s="278" t="inlineStr"/>
      <c r="IHV79" s="278" t="inlineStr"/>
      <c r="IHW79" s="278" t="inlineStr"/>
      <c r="IHX79" s="278" t="inlineStr"/>
      <c r="IHY79" s="278" t="inlineStr"/>
      <c r="IHZ79" s="278" t="inlineStr"/>
      <c r="IIA79" s="278" t="inlineStr"/>
      <c r="IIB79" s="278" t="inlineStr"/>
      <c r="IIC79" s="278" t="inlineStr"/>
      <c r="IID79" s="278" t="inlineStr"/>
      <c r="IIE79" s="278" t="inlineStr"/>
      <c r="IIF79" s="278" t="inlineStr"/>
      <c r="IIG79" s="278" t="inlineStr"/>
      <c r="IIH79" s="278" t="inlineStr"/>
      <c r="III79" s="278" t="inlineStr"/>
      <c r="IIJ79" s="278" t="inlineStr"/>
      <c r="IIK79" s="278" t="inlineStr"/>
      <c r="IIL79" s="278" t="inlineStr"/>
      <c r="IIM79" s="278" t="inlineStr"/>
      <c r="IIN79" s="278" t="inlineStr"/>
      <c r="IIO79" s="278" t="inlineStr"/>
      <c r="IIP79" s="278" t="inlineStr"/>
      <c r="IIQ79" s="278" t="inlineStr"/>
      <c r="IIR79" s="278" t="inlineStr"/>
      <c r="IIS79" s="278" t="inlineStr"/>
      <c r="IIT79" s="278" t="inlineStr"/>
      <c r="IIU79" s="278" t="inlineStr"/>
      <c r="IIV79" s="278" t="inlineStr"/>
      <c r="IIW79" s="278" t="inlineStr"/>
      <c r="IIX79" s="278" t="inlineStr"/>
      <c r="IIY79" s="278" t="inlineStr"/>
      <c r="IIZ79" s="278" t="inlineStr"/>
      <c r="IJA79" s="278" t="inlineStr"/>
      <c r="IJB79" s="278" t="inlineStr"/>
      <c r="IJC79" s="278" t="inlineStr"/>
      <c r="IJD79" s="278" t="inlineStr"/>
      <c r="IJE79" s="278" t="inlineStr"/>
      <c r="IJF79" s="278" t="inlineStr"/>
      <c r="IJG79" s="278" t="inlineStr"/>
      <c r="IJH79" s="278" t="inlineStr"/>
      <c r="IJI79" s="278" t="inlineStr"/>
      <c r="IJJ79" s="278" t="inlineStr"/>
      <c r="IJK79" s="278" t="inlineStr"/>
      <c r="IJL79" s="278" t="inlineStr"/>
      <c r="IJM79" s="278" t="inlineStr"/>
      <c r="IJN79" s="278" t="inlineStr"/>
      <c r="IJO79" s="278" t="inlineStr"/>
      <c r="IJP79" s="278" t="inlineStr"/>
      <c r="IJQ79" s="278" t="inlineStr"/>
      <c r="IJR79" s="278" t="inlineStr"/>
      <c r="IJS79" s="278" t="inlineStr"/>
      <c r="IJT79" s="278" t="inlineStr"/>
      <c r="IJU79" s="278" t="inlineStr"/>
      <c r="IJV79" s="278" t="inlineStr"/>
      <c r="IJW79" s="278" t="inlineStr"/>
      <c r="IJX79" s="278" t="inlineStr"/>
      <c r="IJY79" s="278" t="inlineStr"/>
      <c r="IJZ79" s="278" t="inlineStr"/>
      <c r="IKA79" s="278" t="inlineStr"/>
      <c r="IKB79" s="278" t="inlineStr"/>
      <c r="IKC79" s="278" t="inlineStr"/>
      <c r="IKD79" s="278" t="inlineStr"/>
      <c r="IKE79" s="278" t="inlineStr"/>
      <c r="IKF79" s="278" t="inlineStr"/>
      <c r="IKG79" s="278" t="inlineStr"/>
      <c r="IKH79" s="278" t="inlineStr"/>
      <c r="IKI79" s="278" t="inlineStr"/>
      <c r="IKJ79" s="278" t="inlineStr"/>
      <c r="IKK79" s="278" t="inlineStr"/>
      <c r="IKL79" s="278" t="inlineStr"/>
      <c r="IKM79" s="278" t="inlineStr"/>
      <c r="IKN79" s="278" t="inlineStr"/>
      <c r="IKO79" s="278" t="inlineStr"/>
      <c r="IKP79" s="278" t="inlineStr"/>
      <c r="IKQ79" s="278" t="inlineStr"/>
      <c r="IKR79" s="278" t="inlineStr"/>
      <c r="IKS79" s="278" t="inlineStr"/>
      <c r="IKT79" s="278" t="inlineStr"/>
      <c r="IKU79" s="278" t="inlineStr"/>
      <c r="IKV79" s="278" t="inlineStr"/>
      <c r="IKW79" s="278" t="inlineStr"/>
      <c r="IKX79" s="278" t="inlineStr"/>
      <c r="IKY79" s="278" t="inlineStr"/>
      <c r="IKZ79" s="278" t="inlineStr"/>
      <c r="ILA79" s="278" t="inlineStr"/>
      <c r="ILB79" s="278" t="inlineStr"/>
      <c r="ILC79" s="278" t="inlineStr"/>
      <c r="ILD79" s="278" t="inlineStr"/>
      <c r="ILE79" s="278" t="inlineStr"/>
      <c r="ILF79" s="278" t="inlineStr"/>
      <c r="ILG79" s="278" t="inlineStr"/>
      <c r="ILH79" s="278" t="inlineStr"/>
      <c r="ILI79" s="278" t="inlineStr"/>
      <c r="ILJ79" s="278" t="inlineStr"/>
      <c r="ILK79" s="278" t="inlineStr"/>
      <c r="ILL79" s="278" t="inlineStr"/>
      <c r="ILM79" s="278" t="inlineStr"/>
      <c r="ILN79" s="278" t="inlineStr"/>
      <c r="ILO79" s="278" t="inlineStr"/>
      <c r="ILP79" s="278" t="inlineStr"/>
      <c r="ILQ79" s="278" t="inlineStr"/>
      <c r="ILR79" s="278" t="inlineStr"/>
      <c r="ILS79" s="278" t="inlineStr"/>
      <c r="ILT79" s="278" t="inlineStr"/>
      <c r="ILU79" s="278" t="inlineStr"/>
      <c r="ILV79" s="278" t="inlineStr"/>
      <c r="ILW79" s="278" t="inlineStr"/>
      <c r="ILX79" s="278" t="inlineStr"/>
      <c r="ILY79" s="278" t="inlineStr"/>
      <c r="ILZ79" s="278" t="inlineStr"/>
      <c r="IMA79" s="278" t="inlineStr"/>
      <c r="IMB79" s="278" t="inlineStr"/>
      <c r="IMC79" s="278" t="inlineStr"/>
      <c r="IMD79" s="278" t="inlineStr"/>
      <c r="IME79" s="278" t="inlineStr"/>
      <c r="IMF79" s="278" t="inlineStr"/>
      <c r="IMG79" s="278" t="inlineStr"/>
      <c r="IMH79" s="278" t="inlineStr"/>
      <c r="IMI79" s="278" t="inlineStr"/>
      <c r="IMJ79" s="278" t="inlineStr"/>
      <c r="IMK79" s="278" t="inlineStr"/>
      <c r="IML79" s="278" t="inlineStr"/>
      <c r="IMM79" s="278" t="inlineStr"/>
      <c r="IMN79" s="278" t="inlineStr"/>
      <c r="IMO79" s="278" t="inlineStr"/>
      <c r="IMP79" s="278" t="inlineStr"/>
      <c r="IMQ79" s="278" t="inlineStr"/>
      <c r="IMR79" s="278" t="inlineStr"/>
      <c r="IMS79" s="278" t="inlineStr"/>
      <c r="IMT79" s="278" t="inlineStr"/>
      <c r="IMU79" s="278" t="inlineStr"/>
      <c r="IMV79" s="278" t="inlineStr"/>
      <c r="IMW79" s="278" t="inlineStr"/>
      <c r="IMX79" s="278" t="inlineStr"/>
      <c r="IMY79" s="278" t="inlineStr"/>
      <c r="IMZ79" s="278" t="inlineStr"/>
      <c r="INA79" s="278" t="inlineStr"/>
      <c r="INB79" s="278" t="inlineStr"/>
      <c r="INC79" s="278" t="inlineStr"/>
      <c r="IND79" s="278" t="inlineStr"/>
      <c r="INE79" s="278" t="inlineStr"/>
      <c r="INF79" s="278" t="inlineStr"/>
      <c r="ING79" s="278" t="inlineStr"/>
      <c r="INH79" s="278" t="inlineStr"/>
      <c r="INI79" s="278" t="inlineStr"/>
      <c r="INJ79" s="278" t="inlineStr"/>
      <c r="INK79" s="278" t="inlineStr"/>
      <c r="INL79" s="278" t="inlineStr"/>
      <c r="INM79" s="278" t="inlineStr"/>
      <c r="INN79" s="278" t="inlineStr"/>
      <c r="INO79" s="278" t="inlineStr"/>
      <c r="INP79" s="278" t="inlineStr"/>
      <c r="INQ79" s="278" t="inlineStr"/>
      <c r="INR79" s="278" t="inlineStr"/>
      <c r="INS79" s="278" t="inlineStr"/>
      <c r="INT79" s="278" t="inlineStr"/>
      <c r="INU79" s="278" t="inlineStr"/>
      <c r="INV79" s="278" t="inlineStr"/>
      <c r="INW79" s="278" t="inlineStr"/>
      <c r="INX79" s="278" t="inlineStr"/>
      <c r="INY79" s="278" t="inlineStr"/>
      <c r="INZ79" s="278" t="inlineStr"/>
      <c r="IOA79" s="278" t="inlineStr"/>
      <c r="IOB79" s="278" t="inlineStr"/>
      <c r="IOC79" s="278" t="inlineStr"/>
      <c r="IOD79" s="278" t="inlineStr"/>
      <c r="IOE79" s="278" t="inlineStr"/>
      <c r="IOF79" s="278" t="inlineStr"/>
      <c r="IOG79" s="278" t="inlineStr"/>
      <c r="IOH79" s="278" t="inlineStr"/>
      <c r="IOI79" s="278" t="inlineStr"/>
      <c r="IOJ79" s="278" t="inlineStr"/>
      <c r="IOK79" s="278" t="inlineStr"/>
      <c r="IOL79" s="278" t="inlineStr"/>
      <c r="IOM79" s="278" t="inlineStr"/>
      <c r="ION79" s="278" t="inlineStr"/>
      <c r="IOO79" s="278" t="inlineStr"/>
      <c r="IOP79" s="278" t="inlineStr"/>
      <c r="IOQ79" s="278" t="inlineStr"/>
      <c r="IOR79" s="278" t="inlineStr"/>
      <c r="IOS79" s="278" t="inlineStr"/>
      <c r="IOT79" s="278" t="inlineStr"/>
      <c r="IOU79" s="278" t="inlineStr"/>
      <c r="IOV79" s="278" t="inlineStr"/>
      <c r="IOW79" s="278" t="inlineStr"/>
      <c r="IOX79" s="278" t="inlineStr"/>
      <c r="IOY79" s="278" t="inlineStr"/>
      <c r="IOZ79" s="278" t="inlineStr"/>
      <c r="IPA79" s="278" t="inlineStr"/>
      <c r="IPB79" s="278" t="inlineStr"/>
      <c r="IPC79" s="278" t="inlineStr"/>
      <c r="IPD79" s="278" t="inlineStr"/>
      <c r="IPE79" s="278" t="inlineStr"/>
      <c r="IPF79" s="278" t="inlineStr"/>
      <c r="IPG79" s="278" t="inlineStr"/>
      <c r="IPH79" s="278" t="inlineStr"/>
      <c r="IPI79" s="278" t="inlineStr"/>
      <c r="IPJ79" s="278" t="inlineStr"/>
      <c r="IPK79" s="278" t="inlineStr"/>
      <c r="IPL79" s="278" t="inlineStr"/>
      <c r="IPM79" s="278" t="inlineStr"/>
      <c r="IPN79" s="278" t="inlineStr"/>
      <c r="IPO79" s="278" t="inlineStr"/>
      <c r="IPP79" s="278" t="inlineStr"/>
      <c r="IPQ79" s="278" t="inlineStr"/>
      <c r="IPR79" s="278" t="inlineStr"/>
      <c r="IPS79" s="278" t="inlineStr"/>
      <c r="IPT79" s="278" t="inlineStr"/>
      <c r="IPU79" s="278" t="inlineStr"/>
      <c r="IPV79" s="278" t="inlineStr"/>
      <c r="IPW79" s="278" t="inlineStr"/>
      <c r="IPX79" s="278" t="inlineStr"/>
      <c r="IPY79" s="278" t="inlineStr"/>
      <c r="IPZ79" s="278" t="inlineStr"/>
      <c r="IQA79" s="278" t="inlineStr"/>
      <c r="IQB79" s="278" t="inlineStr"/>
      <c r="IQC79" s="278" t="inlineStr"/>
      <c r="IQD79" s="278" t="inlineStr"/>
      <c r="IQE79" s="278" t="inlineStr"/>
      <c r="IQF79" s="278" t="inlineStr"/>
      <c r="IQG79" s="278" t="inlineStr"/>
      <c r="IQH79" s="278" t="inlineStr"/>
      <c r="IQI79" s="278" t="inlineStr"/>
      <c r="IQJ79" s="278" t="inlineStr"/>
      <c r="IQK79" s="278" t="inlineStr"/>
      <c r="IQL79" s="278" t="inlineStr"/>
      <c r="IQM79" s="278" t="inlineStr"/>
      <c r="IQN79" s="278" t="inlineStr"/>
      <c r="IQO79" s="278" t="inlineStr"/>
      <c r="IQP79" s="278" t="inlineStr"/>
      <c r="IQQ79" s="278" t="inlineStr"/>
      <c r="IQR79" s="278" t="inlineStr"/>
      <c r="IQS79" s="278" t="inlineStr"/>
      <c r="IQT79" s="278" t="inlineStr"/>
      <c r="IQU79" s="278" t="inlineStr"/>
      <c r="IQV79" s="278" t="inlineStr"/>
      <c r="IQW79" s="278" t="inlineStr"/>
      <c r="IQX79" s="278" t="inlineStr"/>
      <c r="IQY79" s="278" t="inlineStr"/>
      <c r="IQZ79" s="278" t="inlineStr"/>
      <c r="IRA79" s="278" t="inlineStr"/>
      <c r="IRB79" s="278" t="inlineStr"/>
      <c r="IRC79" s="278" t="inlineStr"/>
      <c r="IRD79" s="278" t="inlineStr"/>
      <c r="IRE79" s="278" t="inlineStr"/>
      <c r="IRF79" s="278" t="inlineStr"/>
      <c r="IRG79" s="278" t="inlineStr"/>
      <c r="IRH79" s="278" t="inlineStr"/>
      <c r="IRI79" s="278" t="inlineStr"/>
      <c r="IRJ79" s="278" t="inlineStr"/>
      <c r="IRK79" s="278" t="inlineStr"/>
      <c r="IRL79" s="278" t="inlineStr"/>
      <c r="IRM79" s="278" t="inlineStr"/>
      <c r="IRN79" s="278" t="inlineStr"/>
      <c r="IRO79" s="278" t="inlineStr"/>
      <c r="IRP79" s="278" t="inlineStr"/>
      <c r="IRQ79" s="278" t="inlineStr"/>
      <c r="IRR79" s="278" t="inlineStr"/>
      <c r="IRS79" s="278" t="inlineStr"/>
      <c r="IRT79" s="278" t="inlineStr"/>
      <c r="IRU79" s="278" t="inlineStr"/>
      <c r="IRV79" s="278" t="inlineStr"/>
      <c r="IRW79" s="278" t="inlineStr"/>
      <c r="IRX79" s="278" t="inlineStr"/>
      <c r="IRY79" s="278" t="inlineStr"/>
      <c r="IRZ79" s="278" t="inlineStr"/>
      <c r="ISA79" s="278" t="inlineStr"/>
      <c r="ISB79" s="278" t="inlineStr"/>
      <c r="ISC79" s="278" t="inlineStr"/>
      <c r="ISD79" s="278" t="inlineStr"/>
      <c r="ISE79" s="278" t="inlineStr"/>
      <c r="ISF79" s="278" t="inlineStr"/>
      <c r="ISG79" s="278" t="inlineStr"/>
      <c r="ISH79" s="278" t="inlineStr"/>
      <c r="ISI79" s="278" t="inlineStr"/>
      <c r="ISJ79" s="278" t="inlineStr"/>
      <c r="ISK79" s="278" t="inlineStr"/>
      <c r="ISL79" s="278" t="inlineStr"/>
      <c r="ISM79" s="278" t="inlineStr"/>
      <c r="ISN79" s="278" t="inlineStr"/>
      <c r="ISO79" s="278" t="inlineStr"/>
      <c r="ISP79" s="278" t="inlineStr"/>
      <c r="ISQ79" s="278" t="inlineStr"/>
      <c r="ISR79" s="278" t="inlineStr"/>
      <c r="ISS79" s="278" t="inlineStr"/>
      <c r="IST79" s="278" t="inlineStr"/>
      <c r="ISU79" s="278" t="inlineStr"/>
      <c r="ISV79" s="278" t="inlineStr"/>
      <c r="ISW79" s="278" t="inlineStr"/>
      <c r="ISX79" s="278" t="inlineStr"/>
      <c r="ISY79" s="278" t="inlineStr"/>
      <c r="ISZ79" s="278" t="inlineStr"/>
      <c r="ITA79" s="278" t="inlineStr"/>
      <c r="ITB79" s="278" t="inlineStr"/>
      <c r="ITC79" s="278" t="inlineStr"/>
      <c r="ITD79" s="278" t="inlineStr"/>
      <c r="ITE79" s="278" t="inlineStr"/>
      <c r="ITF79" s="278" t="inlineStr"/>
      <c r="ITG79" s="278" t="inlineStr"/>
      <c r="ITH79" s="278" t="inlineStr"/>
      <c r="ITI79" s="278" t="inlineStr"/>
      <c r="ITJ79" s="278" t="inlineStr"/>
      <c r="ITK79" s="278" t="inlineStr"/>
      <c r="ITL79" s="278" t="inlineStr"/>
      <c r="ITM79" s="278" t="inlineStr"/>
      <c r="ITN79" s="278" t="inlineStr"/>
      <c r="ITO79" s="278" t="inlineStr"/>
      <c r="ITP79" s="278" t="inlineStr"/>
      <c r="ITQ79" s="278" t="inlineStr"/>
      <c r="ITR79" s="278" t="inlineStr"/>
      <c r="ITS79" s="278" t="inlineStr"/>
      <c r="ITT79" s="278" t="inlineStr"/>
      <c r="ITU79" s="278" t="inlineStr"/>
      <c r="ITV79" s="278" t="inlineStr"/>
      <c r="ITW79" s="278" t="inlineStr"/>
      <c r="ITX79" s="278" t="inlineStr"/>
      <c r="ITY79" s="278" t="inlineStr"/>
      <c r="ITZ79" s="278" t="inlineStr"/>
      <c r="IUA79" s="278" t="inlineStr"/>
      <c r="IUB79" s="278" t="inlineStr"/>
      <c r="IUC79" s="278" t="inlineStr"/>
      <c r="IUD79" s="278" t="inlineStr"/>
      <c r="IUE79" s="278" t="inlineStr"/>
      <c r="IUF79" s="278" t="inlineStr"/>
      <c r="IUG79" s="278" t="inlineStr"/>
      <c r="IUH79" s="278" t="inlineStr"/>
      <c r="IUI79" s="278" t="inlineStr"/>
      <c r="IUJ79" s="278" t="inlineStr"/>
      <c r="IUK79" s="278" t="inlineStr"/>
      <c r="IUL79" s="278" t="inlineStr"/>
      <c r="IUM79" s="278" t="inlineStr"/>
      <c r="IUN79" s="278" t="inlineStr"/>
      <c r="IUO79" s="278" t="inlineStr"/>
      <c r="IUP79" s="278" t="inlineStr"/>
      <c r="IUQ79" s="278" t="inlineStr"/>
      <c r="IUR79" s="278" t="inlineStr"/>
      <c r="IUS79" s="278" t="inlineStr"/>
      <c r="IUT79" s="278" t="inlineStr"/>
      <c r="IUU79" s="278" t="inlineStr"/>
      <c r="IUV79" s="278" t="inlineStr"/>
      <c r="IUW79" s="278" t="inlineStr"/>
      <c r="IUX79" s="278" t="inlineStr"/>
      <c r="IUY79" s="278" t="inlineStr"/>
      <c r="IUZ79" s="278" t="inlineStr"/>
      <c r="IVA79" s="278" t="inlineStr"/>
      <c r="IVB79" s="278" t="inlineStr"/>
      <c r="IVC79" s="278" t="inlineStr"/>
      <c r="IVD79" s="278" t="inlineStr"/>
      <c r="IVE79" s="278" t="inlineStr"/>
      <c r="IVF79" s="278" t="inlineStr"/>
      <c r="IVG79" s="278" t="inlineStr"/>
      <c r="IVH79" s="278" t="inlineStr"/>
      <c r="IVI79" s="278" t="inlineStr"/>
      <c r="IVJ79" s="278" t="inlineStr"/>
      <c r="IVK79" s="278" t="inlineStr"/>
      <c r="IVL79" s="278" t="inlineStr"/>
      <c r="IVM79" s="278" t="inlineStr"/>
      <c r="IVN79" s="278" t="inlineStr"/>
      <c r="IVO79" s="278" t="inlineStr"/>
      <c r="IVP79" s="278" t="inlineStr"/>
      <c r="IVQ79" s="278" t="inlineStr"/>
      <c r="IVR79" s="278" t="inlineStr"/>
      <c r="IVS79" s="278" t="inlineStr"/>
      <c r="IVT79" s="278" t="inlineStr"/>
      <c r="IVU79" s="278" t="inlineStr"/>
      <c r="IVV79" s="278" t="inlineStr"/>
      <c r="IVW79" s="278" t="inlineStr"/>
      <c r="IVX79" s="278" t="inlineStr"/>
      <c r="IVY79" s="278" t="inlineStr"/>
      <c r="IVZ79" s="278" t="inlineStr"/>
      <c r="IWA79" s="278" t="inlineStr"/>
      <c r="IWB79" s="278" t="inlineStr"/>
      <c r="IWC79" s="278" t="inlineStr"/>
      <c r="IWD79" s="278" t="inlineStr"/>
      <c r="IWE79" s="278" t="inlineStr"/>
      <c r="IWF79" s="278" t="inlineStr"/>
      <c r="IWG79" s="278" t="inlineStr"/>
      <c r="IWH79" s="278" t="inlineStr"/>
      <c r="IWI79" s="278" t="inlineStr"/>
      <c r="IWJ79" s="278" t="inlineStr"/>
      <c r="IWK79" s="278" t="inlineStr"/>
      <c r="IWL79" s="278" t="inlineStr"/>
      <c r="IWM79" s="278" t="inlineStr"/>
      <c r="IWN79" s="278" t="inlineStr"/>
      <c r="IWO79" s="278" t="inlineStr"/>
      <c r="IWP79" s="278" t="inlineStr"/>
      <c r="IWQ79" s="278" t="inlineStr"/>
      <c r="IWR79" s="278" t="inlineStr"/>
      <c r="IWS79" s="278" t="inlineStr"/>
      <c r="IWT79" s="278" t="inlineStr"/>
      <c r="IWU79" s="278" t="inlineStr"/>
      <c r="IWV79" s="278" t="inlineStr"/>
      <c r="IWW79" s="278" t="inlineStr"/>
      <c r="IWX79" s="278" t="inlineStr"/>
      <c r="IWY79" s="278" t="inlineStr"/>
      <c r="IWZ79" s="278" t="inlineStr"/>
      <c r="IXA79" s="278" t="inlineStr"/>
      <c r="IXB79" s="278" t="inlineStr"/>
      <c r="IXC79" s="278" t="inlineStr"/>
      <c r="IXD79" s="278" t="inlineStr"/>
      <c r="IXE79" s="278" t="inlineStr"/>
      <c r="IXF79" s="278" t="inlineStr"/>
      <c r="IXG79" s="278" t="inlineStr"/>
      <c r="IXH79" s="278" t="inlineStr"/>
      <c r="IXI79" s="278" t="inlineStr"/>
      <c r="IXJ79" s="278" t="inlineStr"/>
      <c r="IXK79" s="278" t="inlineStr"/>
      <c r="IXL79" s="278" t="inlineStr"/>
      <c r="IXM79" s="278" t="inlineStr"/>
      <c r="IXN79" s="278" t="inlineStr"/>
      <c r="IXO79" s="278" t="inlineStr"/>
      <c r="IXP79" s="278" t="inlineStr"/>
      <c r="IXQ79" s="278" t="inlineStr"/>
      <c r="IXR79" s="278" t="inlineStr"/>
      <c r="IXS79" s="278" t="inlineStr"/>
      <c r="IXT79" s="278" t="inlineStr"/>
      <c r="IXU79" s="278" t="inlineStr"/>
      <c r="IXV79" s="278" t="inlineStr"/>
      <c r="IXW79" s="278" t="inlineStr"/>
      <c r="IXX79" s="278" t="inlineStr"/>
      <c r="IXY79" s="278" t="inlineStr"/>
      <c r="IXZ79" s="278" t="inlineStr"/>
      <c r="IYA79" s="278" t="inlineStr"/>
      <c r="IYB79" s="278" t="inlineStr"/>
      <c r="IYC79" s="278" t="inlineStr"/>
      <c r="IYD79" s="278" t="inlineStr"/>
      <c r="IYE79" s="278" t="inlineStr"/>
      <c r="IYF79" s="278" t="inlineStr"/>
      <c r="IYG79" s="278" t="inlineStr"/>
      <c r="IYH79" s="278" t="inlineStr"/>
      <c r="IYI79" s="278" t="inlineStr"/>
      <c r="IYJ79" s="278" t="inlineStr"/>
      <c r="IYK79" s="278" t="inlineStr"/>
      <c r="IYL79" s="278" t="inlineStr"/>
      <c r="IYM79" s="278" t="inlineStr"/>
      <c r="IYN79" s="278" t="inlineStr"/>
      <c r="IYO79" s="278" t="inlineStr"/>
      <c r="IYP79" s="278" t="inlineStr"/>
      <c r="IYQ79" s="278" t="inlineStr"/>
      <c r="IYR79" s="278" t="inlineStr"/>
      <c r="IYS79" s="278" t="inlineStr"/>
      <c r="IYT79" s="278" t="inlineStr"/>
      <c r="IYU79" s="278" t="inlineStr"/>
      <c r="IYV79" s="278" t="inlineStr"/>
      <c r="IYW79" s="278" t="inlineStr"/>
      <c r="IYX79" s="278" t="inlineStr"/>
      <c r="IYY79" s="278" t="inlineStr"/>
      <c r="IYZ79" s="278" t="inlineStr"/>
      <c r="IZA79" s="278" t="inlineStr"/>
      <c r="IZB79" s="278" t="inlineStr"/>
      <c r="IZC79" s="278" t="inlineStr"/>
      <c r="IZD79" s="278" t="inlineStr"/>
      <c r="IZE79" s="278" t="inlineStr"/>
      <c r="IZF79" s="278" t="inlineStr"/>
      <c r="IZG79" s="278" t="inlineStr"/>
      <c r="IZH79" s="278" t="inlineStr"/>
      <c r="IZI79" s="278" t="inlineStr"/>
      <c r="IZJ79" s="278" t="inlineStr"/>
      <c r="IZK79" s="278" t="inlineStr"/>
      <c r="IZL79" s="278" t="inlineStr"/>
      <c r="IZM79" s="278" t="inlineStr"/>
      <c r="IZN79" s="278" t="inlineStr"/>
      <c r="IZO79" s="278" t="inlineStr"/>
      <c r="IZP79" s="278" t="inlineStr"/>
      <c r="IZQ79" s="278" t="inlineStr"/>
      <c r="IZR79" s="278" t="inlineStr"/>
      <c r="IZS79" s="278" t="inlineStr"/>
      <c r="IZT79" s="278" t="inlineStr"/>
      <c r="IZU79" s="278" t="inlineStr"/>
      <c r="IZV79" s="278" t="inlineStr"/>
      <c r="IZW79" s="278" t="inlineStr"/>
      <c r="IZX79" s="278" t="inlineStr"/>
      <c r="IZY79" s="278" t="inlineStr"/>
      <c r="IZZ79" s="278" t="inlineStr"/>
      <c r="JAA79" s="278" t="inlineStr"/>
      <c r="JAB79" s="278" t="inlineStr"/>
      <c r="JAC79" s="278" t="inlineStr"/>
      <c r="JAD79" s="278" t="inlineStr"/>
      <c r="JAE79" s="278" t="inlineStr"/>
      <c r="JAF79" s="278" t="inlineStr"/>
      <c r="JAG79" s="278" t="inlineStr"/>
      <c r="JAH79" s="278" t="inlineStr"/>
      <c r="JAI79" s="278" t="inlineStr"/>
      <c r="JAJ79" s="278" t="inlineStr"/>
      <c r="JAK79" s="278" t="inlineStr"/>
      <c r="JAL79" s="278" t="inlineStr"/>
      <c r="JAM79" s="278" t="inlineStr"/>
      <c r="JAN79" s="278" t="inlineStr"/>
      <c r="JAO79" s="278" t="inlineStr"/>
      <c r="JAP79" s="278" t="inlineStr"/>
      <c r="JAQ79" s="278" t="inlineStr"/>
      <c r="JAR79" s="278" t="inlineStr"/>
      <c r="JAS79" s="278" t="inlineStr"/>
      <c r="JAT79" s="278" t="inlineStr"/>
      <c r="JAU79" s="278" t="inlineStr"/>
      <c r="JAV79" s="278" t="inlineStr"/>
      <c r="JAW79" s="278" t="inlineStr"/>
      <c r="JAX79" s="278" t="inlineStr"/>
      <c r="JAY79" s="278" t="inlineStr"/>
      <c r="JAZ79" s="278" t="inlineStr"/>
      <c r="JBA79" s="278" t="inlineStr"/>
      <c r="JBB79" s="278" t="inlineStr"/>
      <c r="JBC79" s="278" t="inlineStr"/>
      <c r="JBD79" s="278" t="inlineStr"/>
      <c r="JBE79" s="278" t="inlineStr"/>
      <c r="JBF79" s="278" t="inlineStr"/>
      <c r="JBG79" s="278" t="inlineStr"/>
      <c r="JBH79" s="278" t="inlineStr"/>
      <c r="JBI79" s="278" t="inlineStr"/>
      <c r="JBJ79" s="278" t="inlineStr"/>
      <c r="JBK79" s="278" t="inlineStr"/>
      <c r="JBL79" s="278" t="inlineStr"/>
      <c r="JBM79" s="278" t="inlineStr"/>
      <c r="JBN79" s="278" t="inlineStr"/>
      <c r="JBO79" s="278" t="inlineStr"/>
      <c r="JBP79" s="278" t="inlineStr"/>
      <c r="JBQ79" s="278" t="inlineStr"/>
      <c r="JBR79" s="278" t="inlineStr"/>
      <c r="JBS79" s="278" t="inlineStr"/>
      <c r="JBT79" s="278" t="inlineStr"/>
      <c r="JBU79" s="278" t="inlineStr"/>
      <c r="JBV79" s="278" t="inlineStr"/>
      <c r="JBW79" s="278" t="inlineStr"/>
      <c r="JBX79" s="278" t="inlineStr"/>
      <c r="JBY79" s="278" t="inlineStr"/>
      <c r="JBZ79" s="278" t="inlineStr"/>
      <c r="JCA79" s="278" t="inlineStr"/>
      <c r="JCB79" s="278" t="inlineStr"/>
      <c r="JCC79" s="278" t="inlineStr"/>
      <c r="JCD79" s="278" t="inlineStr"/>
      <c r="JCE79" s="278" t="inlineStr"/>
      <c r="JCF79" s="278" t="inlineStr"/>
      <c r="JCG79" s="278" t="inlineStr"/>
      <c r="JCH79" s="278" t="inlineStr"/>
      <c r="JCI79" s="278" t="inlineStr"/>
      <c r="JCJ79" s="278" t="inlineStr"/>
      <c r="JCK79" s="278" t="inlineStr"/>
      <c r="JCL79" s="278" t="inlineStr"/>
      <c r="JCM79" s="278" t="inlineStr"/>
      <c r="JCN79" s="278" t="inlineStr"/>
      <c r="JCO79" s="278" t="inlineStr"/>
      <c r="JCP79" s="278" t="inlineStr"/>
      <c r="JCQ79" s="278" t="inlineStr"/>
      <c r="JCR79" s="278" t="inlineStr"/>
      <c r="JCS79" s="278" t="inlineStr"/>
      <c r="JCT79" s="278" t="inlineStr"/>
      <c r="JCU79" s="278" t="inlineStr"/>
      <c r="JCV79" s="278" t="inlineStr"/>
      <c r="JCW79" s="278" t="inlineStr"/>
      <c r="JCX79" s="278" t="inlineStr"/>
      <c r="JCY79" s="278" t="inlineStr"/>
      <c r="JCZ79" s="278" t="inlineStr"/>
      <c r="JDA79" s="278" t="inlineStr"/>
      <c r="JDB79" s="278" t="inlineStr"/>
      <c r="JDC79" s="278" t="inlineStr"/>
      <c r="JDD79" s="278" t="inlineStr"/>
      <c r="JDE79" s="278" t="inlineStr"/>
      <c r="JDF79" s="278" t="inlineStr"/>
      <c r="JDG79" s="278" t="inlineStr"/>
      <c r="JDH79" s="278" t="inlineStr"/>
      <c r="JDI79" s="278" t="inlineStr"/>
      <c r="JDJ79" s="278" t="inlineStr"/>
      <c r="JDK79" s="278" t="inlineStr"/>
      <c r="JDL79" s="278" t="inlineStr"/>
      <c r="JDM79" s="278" t="inlineStr"/>
      <c r="JDN79" s="278" t="inlineStr"/>
      <c r="JDO79" s="278" t="inlineStr"/>
      <c r="JDP79" s="278" t="inlineStr"/>
      <c r="JDQ79" s="278" t="inlineStr"/>
      <c r="JDR79" s="278" t="inlineStr"/>
      <c r="JDS79" s="278" t="inlineStr"/>
      <c r="JDT79" s="278" t="inlineStr"/>
      <c r="JDU79" s="278" t="inlineStr"/>
      <c r="JDV79" s="278" t="inlineStr"/>
      <c r="JDW79" s="278" t="inlineStr"/>
      <c r="JDX79" s="278" t="inlineStr"/>
      <c r="JDY79" s="278" t="inlineStr"/>
      <c r="JDZ79" s="278" t="inlineStr"/>
      <c r="JEA79" s="278" t="inlineStr"/>
      <c r="JEB79" s="278" t="inlineStr"/>
      <c r="JEC79" s="278" t="inlineStr"/>
      <c r="JED79" s="278" t="inlineStr"/>
      <c r="JEE79" s="278" t="inlineStr"/>
      <c r="JEF79" s="278" t="inlineStr"/>
      <c r="JEG79" s="278" t="inlineStr"/>
      <c r="JEH79" s="278" t="inlineStr"/>
      <c r="JEI79" s="278" t="inlineStr"/>
      <c r="JEJ79" s="278" t="inlineStr"/>
      <c r="JEK79" s="278" t="inlineStr"/>
      <c r="JEL79" s="278" t="inlineStr"/>
      <c r="JEM79" s="278" t="inlineStr"/>
      <c r="JEN79" s="278" t="inlineStr"/>
      <c r="JEO79" s="278" t="inlineStr"/>
      <c r="JEP79" s="278" t="inlineStr"/>
      <c r="JEQ79" s="278" t="inlineStr"/>
      <c r="JER79" s="278" t="inlineStr"/>
      <c r="JES79" s="278" t="inlineStr"/>
      <c r="JET79" s="278" t="inlineStr"/>
      <c r="JEU79" s="278" t="inlineStr"/>
      <c r="JEV79" s="278" t="inlineStr"/>
      <c r="JEW79" s="278" t="inlineStr"/>
      <c r="JEX79" s="278" t="inlineStr"/>
      <c r="JEY79" s="278" t="inlineStr"/>
      <c r="JEZ79" s="278" t="inlineStr"/>
      <c r="JFA79" s="278" t="inlineStr"/>
      <c r="JFB79" s="278" t="inlineStr"/>
      <c r="JFC79" s="278" t="inlineStr"/>
      <c r="JFD79" s="278" t="inlineStr"/>
      <c r="JFE79" s="278" t="inlineStr"/>
      <c r="JFF79" s="278" t="inlineStr"/>
      <c r="JFG79" s="278" t="inlineStr"/>
      <c r="JFH79" s="278" t="inlineStr"/>
      <c r="JFI79" s="278" t="inlineStr"/>
      <c r="JFJ79" s="278" t="inlineStr"/>
      <c r="JFK79" s="278" t="inlineStr"/>
      <c r="JFL79" s="278" t="inlineStr"/>
      <c r="JFM79" s="278" t="inlineStr"/>
      <c r="JFN79" s="278" t="inlineStr"/>
      <c r="JFO79" s="278" t="inlineStr"/>
      <c r="JFP79" s="278" t="inlineStr"/>
      <c r="JFQ79" s="278" t="inlineStr"/>
      <c r="JFR79" s="278" t="inlineStr"/>
      <c r="JFS79" s="278" t="inlineStr"/>
      <c r="JFT79" s="278" t="inlineStr"/>
      <c r="JFU79" s="278" t="inlineStr"/>
      <c r="JFV79" s="278" t="inlineStr"/>
      <c r="JFW79" s="278" t="inlineStr"/>
      <c r="JFX79" s="278" t="inlineStr"/>
      <c r="JFY79" s="278" t="inlineStr"/>
      <c r="JFZ79" s="278" t="inlineStr"/>
      <c r="JGA79" s="278" t="inlineStr"/>
      <c r="JGB79" s="278" t="inlineStr"/>
      <c r="JGC79" s="278" t="inlineStr"/>
      <c r="JGD79" s="278" t="inlineStr"/>
      <c r="JGE79" s="278" t="inlineStr"/>
      <c r="JGF79" s="278" t="inlineStr"/>
      <c r="JGG79" s="278" t="inlineStr"/>
      <c r="JGH79" s="278" t="inlineStr"/>
      <c r="JGI79" s="278" t="inlineStr"/>
      <c r="JGJ79" s="278" t="inlineStr"/>
      <c r="JGK79" s="278" t="inlineStr"/>
      <c r="JGL79" s="278" t="inlineStr"/>
      <c r="JGM79" s="278" t="inlineStr"/>
      <c r="JGN79" s="278" t="inlineStr"/>
      <c r="JGO79" s="278" t="inlineStr"/>
      <c r="JGP79" s="278" t="inlineStr"/>
      <c r="JGQ79" s="278" t="inlineStr"/>
      <c r="JGR79" s="278" t="inlineStr"/>
      <c r="JGS79" s="278" t="inlineStr"/>
      <c r="JGT79" s="278" t="inlineStr"/>
      <c r="JGU79" s="278" t="inlineStr"/>
      <c r="JGV79" s="278" t="inlineStr"/>
      <c r="JGW79" s="278" t="inlineStr"/>
      <c r="JGX79" s="278" t="inlineStr"/>
      <c r="JGY79" s="278" t="inlineStr"/>
      <c r="JGZ79" s="278" t="inlineStr"/>
      <c r="JHA79" s="278" t="inlineStr"/>
      <c r="JHB79" s="278" t="inlineStr"/>
      <c r="JHC79" s="278" t="inlineStr"/>
      <c r="JHD79" s="278" t="inlineStr"/>
      <c r="JHE79" s="278" t="inlineStr"/>
      <c r="JHF79" s="278" t="inlineStr"/>
      <c r="JHG79" s="278" t="inlineStr"/>
      <c r="JHH79" s="278" t="inlineStr"/>
      <c r="JHI79" s="278" t="inlineStr"/>
      <c r="JHJ79" s="278" t="inlineStr"/>
      <c r="JHK79" s="278" t="inlineStr"/>
      <c r="JHL79" s="278" t="inlineStr"/>
      <c r="JHM79" s="278" t="inlineStr"/>
      <c r="JHN79" s="278" t="inlineStr"/>
      <c r="JHO79" s="278" t="inlineStr"/>
      <c r="JHP79" s="278" t="inlineStr"/>
      <c r="JHQ79" s="278" t="inlineStr"/>
      <c r="JHR79" s="278" t="inlineStr"/>
      <c r="JHS79" s="278" t="inlineStr"/>
      <c r="JHT79" s="278" t="inlineStr"/>
      <c r="JHU79" s="278" t="inlineStr"/>
      <c r="JHV79" s="278" t="inlineStr"/>
      <c r="JHW79" s="278" t="inlineStr"/>
      <c r="JHX79" s="278" t="inlineStr"/>
      <c r="JHY79" s="278" t="inlineStr"/>
      <c r="JHZ79" s="278" t="inlineStr"/>
      <c r="JIA79" s="278" t="inlineStr"/>
      <c r="JIB79" s="278" t="inlineStr"/>
      <c r="JIC79" s="278" t="inlineStr"/>
      <c r="JID79" s="278" t="inlineStr"/>
      <c r="JIE79" s="278" t="inlineStr"/>
      <c r="JIF79" s="278" t="inlineStr"/>
      <c r="JIG79" s="278" t="inlineStr"/>
      <c r="JIH79" s="278" t="inlineStr"/>
      <c r="JII79" s="278" t="inlineStr"/>
      <c r="JIJ79" s="278" t="inlineStr"/>
      <c r="JIK79" s="278" t="inlineStr"/>
      <c r="JIL79" s="278" t="inlineStr"/>
      <c r="JIM79" s="278" t="inlineStr"/>
      <c r="JIN79" s="278" t="inlineStr"/>
      <c r="JIO79" s="278" t="inlineStr"/>
      <c r="JIP79" s="278" t="inlineStr"/>
      <c r="JIQ79" s="278" t="inlineStr"/>
      <c r="JIR79" s="278" t="inlineStr"/>
      <c r="JIS79" s="278" t="inlineStr"/>
      <c r="JIT79" s="278" t="inlineStr"/>
      <c r="JIU79" s="278" t="inlineStr"/>
      <c r="JIV79" s="278" t="inlineStr"/>
      <c r="JIW79" s="278" t="inlineStr"/>
      <c r="JIX79" s="278" t="inlineStr"/>
      <c r="JIY79" s="278" t="inlineStr"/>
      <c r="JIZ79" s="278" t="inlineStr"/>
      <c r="JJA79" s="278" t="inlineStr"/>
      <c r="JJB79" s="278" t="inlineStr"/>
      <c r="JJC79" s="278" t="inlineStr"/>
      <c r="JJD79" s="278" t="inlineStr"/>
      <c r="JJE79" s="278" t="inlineStr"/>
      <c r="JJF79" s="278" t="inlineStr"/>
      <c r="JJG79" s="278" t="inlineStr"/>
      <c r="JJH79" s="278" t="inlineStr"/>
      <c r="JJI79" s="278" t="inlineStr"/>
      <c r="JJJ79" s="278" t="inlineStr"/>
      <c r="JJK79" s="278" t="inlineStr"/>
      <c r="JJL79" s="278" t="inlineStr"/>
      <c r="JJM79" s="278" t="inlineStr"/>
      <c r="JJN79" s="278" t="inlineStr"/>
      <c r="JJO79" s="278" t="inlineStr"/>
      <c r="JJP79" s="278" t="inlineStr"/>
      <c r="JJQ79" s="278" t="inlineStr"/>
      <c r="JJR79" s="278" t="inlineStr"/>
      <c r="JJS79" s="278" t="inlineStr"/>
      <c r="JJT79" s="278" t="inlineStr"/>
      <c r="JJU79" s="278" t="inlineStr"/>
      <c r="JJV79" s="278" t="inlineStr"/>
      <c r="JJW79" s="278" t="inlineStr"/>
      <c r="JJX79" s="278" t="inlineStr"/>
      <c r="JJY79" s="278" t="inlineStr"/>
      <c r="JJZ79" s="278" t="inlineStr"/>
      <c r="JKA79" s="278" t="inlineStr"/>
      <c r="JKB79" s="278" t="inlineStr"/>
      <c r="JKC79" s="278" t="inlineStr"/>
      <c r="JKD79" s="278" t="inlineStr"/>
      <c r="JKE79" s="278" t="inlineStr"/>
      <c r="JKF79" s="278" t="inlineStr"/>
      <c r="JKG79" s="278" t="inlineStr"/>
      <c r="JKH79" s="278" t="inlineStr"/>
      <c r="JKI79" s="278" t="inlineStr"/>
      <c r="JKJ79" s="278" t="inlineStr"/>
      <c r="JKK79" s="278" t="inlineStr"/>
      <c r="JKL79" s="278" t="inlineStr"/>
      <c r="JKM79" s="278" t="inlineStr"/>
      <c r="JKN79" s="278" t="inlineStr"/>
      <c r="JKO79" s="278" t="inlineStr"/>
      <c r="JKP79" s="278" t="inlineStr"/>
      <c r="JKQ79" s="278" t="inlineStr"/>
      <c r="JKR79" s="278" t="inlineStr"/>
      <c r="JKS79" s="278" t="inlineStr"/>
      <c r="JKT79" s="278" t="inlineStr"/>
      <c r="JKU79" s="278" t="inlineStr"/>
      <c r="JKV79" s="278" t="inlineStr"/>
      <c r="JKW79" s="278" t="inlineStr"/>
      <c r="JKX79" s="278" t="inlineStr"/>
      <c r="JKY79" s="278" t="inlineStr"/>
      <c r="JKZ79" s="278" t="inlineStr"/>
      <c r="JLA79" s="278" t="inlineStr"/>
      <c r="JLB79" s="278" t="inlineStr"/>
      <c r="JLC79" s="278" t="inlineStr"/>
      <c r="JLD79" s="278" t="inlineStr"/>
      <c r="JLE79" s="278" t="inlineStr"/>
      <c r="JLF79" s="278" t="inlineStr"/>
      <c r="JLG79" s="278" t="inlineStr"/>
      <c r="JLH79" s="278" t="inlineStr"/>
      <c r="JLI79" s="278" t="inlineStr"/>
      <c r="JLJ79" s="278" t="inlineStr"/>
      <c r="JLK79" s="278" t="inlineStr"/>
      <c r="JLL79" s="278" t="inlineStr"/>
      <c r="JLM79" s="278" t="inlineStr"/>
      <c r="JLN79" s="278" t="inlineStr"/>
      <c r="JLO79" s="278" t="inlineStr"/>
      <c r="JLP79" s="278" t="inlineStr"/>
      <c r="JLQ79" s="278" t="inlineStr"/>
      <c r="JLR79" s="278" t="inlineStr"/>
      <c r="JLS79" s="278" t="inlineStr"/>
      <c r="JLT79" s="278" t="inlineStr"/>
      <c r="JLU79" s="278" t="inlineStr"/>
      <c r="JLV79" s="278" t="inlineStr"/>
      <c r="JLW79" s="278" t="inlineStr"/>
      <c r="JLX79" s="278" t="inlineStr"/>
      <c r="JLY79" s="278" t="inlineStr"/>
      <c r="JLZ79" s="278" t="inlineStr"/>
      <c r="JMA79" s="278" t="inlineStr"/>
      <c r="JMB79" s="278" t="inlineStr"/>
      <c r="JMC79" s="278" t="inlineStr"/>
      <c r="JMD79" s="278" t="inlineStr"/>
      <c r="JME79" s="278" t="inlineStr"/>
      <c r="JMF79" s="278" t="inlineStr"/>
      <c r="JMG79" s="278" t="inlineStr"/>
      <c r="JMH79" s="278" t="inlineStr"/>
      <c r="JMI79" s="278" t="inlineStr"/>
      <c r="JMJ79" s="278" t="inlineStr"/>
      <c r="JMK79" s="278" t="inlineStr"/>
      <c r="JML79" s="278" t="inlineStr"/>
      <c r="JMM79" s="278" t="inlineStr"/>
      <c r="JMN79" s="278" t="inlineStr"/>
      <c r="JMO79" s="278" t="inlineStr"/>
      <c r="JMP79" s="278" t="inlineStr"/>
      <c r="JMQ79" s="278" t="inlineStr"/>
      <c r="JMR79" s="278" t="inlineStr"/>
      <c r="JMS79" s="278" t="inlineStr"/>
      <c r="JMT79" s="278" t="inlineStr"/>
      <c r="JMU79" s="278" t="inlineStr"/>
      <c r="JMV79" s="278" t="inlineStr"/>
      <c r="JMW79" s="278" t="inlineStr"/>
      <c r="JMX79" s="278" t="inlineStr"/>
      <c r="JMY79" s="278" t="inlineStr"/>
      <c r="JMZ79" s="278" t="inlineStr"/>
      <c r="JNA79" s="278" t="inlineStr"/>
      <c r="JNB79" s="278" t="inlineStr"/>
      <c r="JNC79" s="278" t="inlineStr"/>
      <c r="JND79" s="278" t="inlineStr"/>
      <c r="JNE79" s="278" t="inlineStr"/>
      <c r="JNF79" s="278" t="inlineStr"/>
      <c r="JNG79" s="278" t="inlineStr"/>
      <c r="JNH79" s="278" t="inlineStr"/>
      <c r="JNI79" s="278" t="inlineStr"/>
      <c r="JNJ79" s="278" t="inlineStr"/>
      <c r="JNK79" s="278" t="inlineStr"/>
      <c r="JNL79" s="278" t="inlineStr"/>
      <c r="JNM79" s="278" t="inlineStr"/>
      <c r="JNN79" s="278" t="inlineStr"/>
      <c r="JNO79" s="278" t="inlineStr"/>
      <c r="JNP79" s="278" t="inlineStr"/>
      <c r="JNQ79" s="278" t="inlineStr"/>
      <c r="JNR79" s="278" t="inlineStr"/>
      <c r="JNS79" s="278" t="inlineStr"/>
      <c r="JNT79" s="278" t="inlineStr"/>
      <c r="JNU79" s="278" t="inlineStr"/>
      <c r="JNV79" s="278" t="inlineStr"/>
      <c r="JNW79" s="278" t="inlineStr"/>
      <c r="JNX79" s="278" t="inlineStr"/>
      <c r="JNY79" s="278" t="inlineStr"/>
      <c r="JNZ79" s="278" t="inlineStr"/>
      <c r="JOA79" s="278" t="inlineStr"/>
      <c r="JOB79" s="278" t="inlineStr"/>
      <c r="JOC79" s="278" t="inlineStr"/>
      <c r="JOD79" s="278" t="inlineStr"/>
      <c r="JOE79" s="278" t="inlineStr"/>
      <c r="JOF79" s="278" t="inlineStr"/>
      <c r="JOG79" s="278" t="inlineStr"/>
      <c r="JOH79" s="278" t="inlineStr"/>
      <c r="JOI79" s="278" t="inlineStr"/>
      <c r="JOJ79" s="278" t="inlineStr"/>
      <c r="JOK79" s="278" t="inlineStr"/>
      <c r="JOL79" s="278" t="inlineStr"/>
      <c r="JOM79" s="278" t="inlineStr"/>
      <c r="JON79" s="278" t="inlineStr"/>
      <c r="JOO79" s="278" t="inlineStr"/>
      <c r="JOP79" s="278" t="inlineStr"/>
      <c r="JOQ79" s="278" t="inlineStr"/>
      <c r="JOR79" s="278" t="inlineStr"/>
      <c r="JOS79" s="278" t="inlineStr"/>
      <c r="JOT79" s="278" t="inlineStr"/>
      <c r="JOU79" s="278" t="inlineStr"/>
      <c r="JOV79" s="278" t="inlineStr"/>
      <c r="JOW79" s="278" t="inlineStr"/>
      <c r="JOX79" s="278" t="inlineStr"/>
      <c r="JOY79" s="278" t="inlineStr"/>
      <c r="JOZ79" s="278" t="inlineStr"/>
      <c r="JPA79" s="278" t="inlineStr"/>
      <c r="JPB79" s="278" t="inlineStr"/>
      <c r="JPC79" s="278" t="inlineStr"/>
      <c r="JPD79" s="278" t="inlineStr"/>
      <c r="JPE79" s="278" t="inlineStr"/>
      <c r="JPF79" s="278" t="inlineStr"/>
      <c r="JPG79" s="278" t="inlineStr"/>
      <c r="JPH79" s="278" t="inlineStr"/>
      <c r="JPI79" s="278" t="inlineStr"/>
      <c r="JPJ79" s="278" t="inlineStr"/>
      <c r="JPK79" s="278" t="inlineStr"/>
      <c r="JPL79" s="278" t="inlineStr"/>
      <c r="JPM79" s="278" t="inlineStr"/>
      <c r="JPN79" s="278" t="inlineStr"/>
      <c r="JPO79" s="278" t="inlineStr"/>
      <c r="JPP79" s="278" t="inlineStr"/>
      <c r="JPQ79" s="278" t="inlineStr"/>
      <c r="JPR79" s="278" t="inlineStr"/>
      <c r="JPS79" s="278" t="inlineStr"/>
      <c r="JPT79" s="278" t="inlineStr"/>
      <c r="JPU79" s="278" t="inlineStr"/>
      <c r="JPV79" s="278" t="inlineStr"/>
      <c r="JPW79" s="278" t="inlineStr"/>
      <c r="JPX79" s="278" t="inlineStr"/>
      <c r="JPY79" s="278" t="inlineStr"/>
      <c r="JPZ79" s="278" t="inlineStr"/>
      <c r="JQA79" s="278" t="inlineStr"/>
      <c r="JQB79" s="278" t="inlineStr"/>
      <c r="JQC79" s="278" t="inlineStr"/>
      <c r="JQD79" s="278" t="inlineStr"/>
      <c r="JQE79" s="278" t="inlineStr"/>
      <c r="JQF79" s="278" t="inlineStr"/>
      <c r="JQG79" s="278" t="inlineStr"/>
      <c r="JQH79" s="278" t="inlineStr"/>
      <c r="JQI79" s="278" t="inlineStr"/>
      <c r="JQJ79" s="278" t="inlineStr"/>
      <c r="JQK79" s="278" t="inlineStr"/>
      <c r="JQL79" s="278" t="inlineStr"/>
      <c r="JQM79" s="278" t="inlineStr"/>
      <c r="JQN79" s="278" t="inlineStr"/>
      <c r="JQO79" s="278" t="inlineStr"/>
      <c r="JQP79" s="278" t="inlineStr"/>
      <c r="JQQ79" s="278" t="inlineStr"/>
      <c r="JQR79" s="278" t="inlineStr"/>
      <c r="JQS79" s="278" t="inlineStr"/>
      <c r="JQT79" s="278" t="inlineStr"/>
      <c r="JQU79" s="278" t="inlineStr"/>
      <c r="JQV79" s="278" t="inlineStr"/>
      <c r="JQW79" s="278" t="inlineStr"/>
      <c r="JQX79" s="278" t="inlineStr"/>
      <c r="JQY79" s="278" t="inlineStr"/>
      <c r="JQZ79" s="278" t="inlineStr"/>
      <c r="JRA79" s="278" t="inlineStr"/>
      <c r="JRB79" s="278" t="inlineStr"/>
      <c r="JRC79" s="278" t="inlineStr"/>
      <c r="JRD79" s="278" t="inlineStr"/>
      <c r="JRE79" s="278" t="inlineStr"/>
      <c r="JRF79" s="278" t="inlineStr"/>
      <c r="JRG79" s="278" t="inlineStr"/>
      <c r="JRH79" s="278" t="inlineStr"/>
      <c r="JRI79" s="278" t="inlineStr"/>
      <c r="JRJ79" s="278" t="inlineStr"/>
      <c r="JRK79" s="278" t="inlineStr"/>
      <c r="JRL79" s="278" t="inlineStr"/>
      <c r="JRM79" s="278" t="inlineStr"/>
      <c r="JRN79" s="278" t="inlineStr"/>
      <c r="JRO79" s="278" t="inlineStr"/>
      <c r="JRP79" s="278" t="inlineStr"/>
      <c r="JRQ79" s="278" t="inlineStr"/>
      <c r="JRR79" s="278" t="inlineStr"/>
      <c r="JRS79" s="278" t="inlineStr"/>
      <c r="JRT79" s="278" t="inlineStr"/>
      <c r="JRU79" s="278" t="inlineStr"/>
      <c r="JRV79" s="278" t="inlineStr"/>
      <c r="JRW79" s="278" t="inlineStr"/>
      <c r="JRX79" s="278" t="inlineStr"/>
      <c r="JRY79" s="278" t="inlineStr"/>
      <c r="JRZ79" s="278" t="inlineStr"/>
      <c r="JSA79" s="278" t="inlineStr"/>
      <c r="JSB79" s="278" t="inlineStr"/>
      <c r="JSC79" s="278" t="inlineStr"/>
      <c r="JSD79" s="278" t="inlineStr"/>
      <c r="JSE79" s="278" t="inlineStr"/>
      <c r="JSF79" s="278" t="inlineStr"/>
      <c r="JSG79" s="278" t="inlineStr"/>
      <c r="JSH79" s="278" t="inlineStr"/>
      <c r="JSI79" s="278" t="inlineStr"/>
      <c r="JSJ79" s="278" t="inlineStr"/>
      <c r="JSK79" s="278" t="inlineStr"/>
      <c r="JSL79" s="278" t="inlineStr"/>
      <c r="JSM79" s="278" t="inlineStr"/>
      <c r="JSN79" s="278" t="inlineStr"/>
      <c r="JSO79" s="278" t="inlineStr"/>
      <c r="JSP79" s="278" t="inlineStr"/>
      <c r="JSQ79" s="278" t="inlineStr"/>
      <c r="JSR79" s="278" t="inlineStr"/>
      <c r="JSS79" s="278" t="inlineStr"/>
      <c r="JST79" s="278" t="inlineStr"/>
      <c r="JSU79" s="278" t="inlineStr"/>
      <c r="JSV79" s="278" t="inlineStr"/>
      <c r="JSW79" s="278" t="inlineStr"/>
      <c r="JSX79" s="278" t="inlineStr"/>
      <c r="JSY79" s="278" t="inlineStr"/>
      <c r="JSZ79" s="278" t="inlineStr"/>
      <c r="JTA79" s="278" t="inlineStr"/>
      <c r="JTB79" s="278" t="inlineStr"/>
      <c r="JTC79" s="278" t="inlineStr"/>
      <c r="JTD79" s="278" t="inlineStr"/>
      <c r="JTE79" s="278" t="inlineStr"/>
      <c r="JTF79" s="278" t="inlineStr"/>
      <c r="JTG79" s="278" t="inlineStr"/>
      <c r="JTH79" s="278" t="inlineStr"/>
      <c r="JTI79" s="278" t="inlineStr"/>
      <c r="JTJ79" s="278" t="inlineStr"/>
      <c r="JTK79" s="278" t="inlineStr"/>
      <c r="JTL79" s="278" t="inlineStr"/>
      <c r="JTM79" s="278" t="inlineStr"/>
      <c r="JTN79" s="278" t="inlineStr"/>
      <c r="JTO79" s="278" t="inlineStr"/>
      <c r="JTP79" s="278" t="inlineStr"/>
      <c r="JTQ79" s="278" t="inlineStr"/>
      <c r="JTR79" s="278" t="inlineStr"/>
      <c r="JTS79" s="278" t="inlineStr"/>
      <c r="JTT79" s="278" t="inlineStr"/>
      <c r="JTU79" s="278" t="inlineStr"/>
      <c r="JTV79" s="278" t="inlineStr"/>
      <c r="JTW79" s="278" t="inlineStr"/>
      <c r="JTX79" s="278" t="inlineStr"/>
      <c r="JTY79" s="278" t="inlineStr"/>
      <c r="JTZ79" s="278" t="inlineStr"/>
      <c r="JUA79" s="278" t="inlineStr"/>
      <c r="JUB79" s="278" t="inlineStr"/>
      <c r="JUC79" s="278" t="inlineStr"/>
      <c r="JUD79" s="278" t="inlineStr"/>
      <c r="JUE79" s="278" t="inlineStr"/>
      <c r="JUF79" s="278" t="inlineStr"/>
      <c r="JUG79" s="278" t="inlineStr"/>
      <c r="JUH79" s="278" t="inlineStr"/>
      <c r="JUI79" s="278" t="inlineStr"/>
      <c r="JUJ79" s="278" t="inlineStr"/>
      <c r="JUK79" s="278" t="inlineStr"/>
      <c r="JUL79" s="278" t="inlineStr"/>
      <c r="JUM79" s="278" t="inlineStr"/>
      <c r="JUN79" s="278" t="inlineStr"/>
      <c r="JUO79" s="278" t="inlineStr"/>
      <c r="JUP79" s="278" t="inlineStr"/>
      <c r="JUQ79" s="278" t="inlineStr"/>
      <c r="JUR79" s="278" t="inlineStr"/>
      <c r="JUS79" s="278" t="inlineStr"/>
      <c r="JUT79" s="278" t="inlineStr"/>
      <c r="JUU79" s="278" t="inlineStr"/>
      <c r="JUV79" s="278" t="inlineStr"/>
      <c r="JUW79" s="278" t="inlineStr"/>
      <c r="JUX79" s="278" t="inlineStr"/>
      <c r="JUY79" s="278" t="inlineStr"/>
      <c r="JUZ79" s="278" t="inlineStr"/>
      <c r="JVA79" s="278" t="inlineStr"/>
      <c r="JVB79" s="278" t="inlineStr"/>
      <c r="JVC79" s="278" t="inlineStr"/>
      <c r="JVD79" s="278" t="inlineStr"/>
      <c r="JVE79" s="278" t="inlineStr"/>
      <c r="JVF79" s="278" t="inlineStr"/>
      <c r="JVG79" s="278" t="inlineStr"/>
      <c r="JVH79" s="278" t="inlineStr"/>
      <c r="JVI79" s="278" t="inlineStr"/>
      <c r="JVJ79" s="278" t="inlineStr"/>
      <c r="JVK79" s="278" t="inlineStr"/>
      <c r="JVL79" s="278" t="inlineStr"/>
      <c r="JVM79" s="278" t="inlineStr"/>
      <c r="JVN79" s="278" t="inlineStr"/>
      <c r="JVO79" s="278" t="inlineStr"/>
      <c r="JVP79" s="278" t="inlineStr"/>
      <c r="JVQ79" s="278" t="inlineStr"/>
      <c r="JVR79" s="278" t="inlineStr"/>
      <c r="JVS79" s="278" t="inlineStr"/>
      <c r="JVT79" s="278" t="inlineStr"/>
      <c r="JVU79" s="278" t="inlineStr"/>
      <c r="JVV79" s="278" t="inlineStr"/>
      <c r="JVW79" s="278" t="inlineStr"/>
      <c r="JVX79" s="278" t="inlineStr"/>
      <c r="JVY79" s="278" t="inlineStr"/>
      <c r="JVZ79" s="278" t="inlineStr"/>
      <c r="JWA79" s="278" t="inlineStr"/>
      <c r="JWB79" s="278" t="inlineStr"/>
      <c r="JWC79" s="278" t="inlineStr"/>
      <c r="JWD79" s="278" t="inlineStr"/>
      <c r="JWE79" s="278" t="inlineStr"/>
      <c r="JWF79" s="278" t="inlineStr"/>
      <c r="JWG79" s="278" t="inlineStr"/>
      <c r="JWH79" s="278" t="inlineStr"/>
      <c r="JWI79" s="278" t="inlineStr"/>
      <c r="JWJ79" s="278" t="inlineStr"/>
      <c r="JWK79" s="278" t="inlineStr"/>
      <c r="JWL79" s="278" t="inlineStr"/>
      <c r="JWM79" s="278" t="inlineStr"/>
      <c r="JWN79" s="278" t="inlineStr"/>
      <c r="JWO79" s="278" t="inlineStr"/>
      <c r="JWP79" s="278" t="inlineStr"/>
      <c r="JWQ79" s="278" t="inlineStr"/>
      <c r="JWR79" s="278" t="inlineStr"/>
      <c r="JWS79" s="278" t="inlineStr"/>
      <c r="JWT79" s="278" t="inlineStr"/>
      <c r="JWU79" s="278" t="inlineStr"/>
      <c r="JWV79" s="278" t="inlineStr"/>
      <c r="JWW79" s="278" t="inlineStr"/>
      <c r="JWX79" s="278" t="inlineStr"/>
      <c r="JWY79" s="278" t="inlineStr"/>
      <c r="JWZ79" s="278" t="inlineStr"/>
      <c r="JXA79" s="278" t="inlineStr"/>
      <c r="JXB79" s="278" t="inlineStr"/>
      <c r="JXC79" s="278" t="inlineStr"/>
      <c r="JXD79" s="278" t="inlineStr"/>
      <c r="JXE79" s="278" t="inlineStr"/>
      <c r="JXF79" s="278" t="inlineStr"/>
      <c r="JXG79" s="278" t="inlineStr"/>
      <c r="JXH79" s="278" t="inlineStr"/>
      <c r="JXI79" s="278" t="inlineStr"/>
      <c r="JXJ79" s="278" t="inlineStr"/>
      <c r="JXK79" s="278" t="inlineStr"/>
      <c r="JXL79" s="278" t="inlineStr"/>
      <c r="JXM79" s="278" t="inlineStr"/>
      <c r="JXN79" s="278" t="inlineStr"/>
      <c r="JXO79" s="278" t="inlineStr"/>
      <c r="JXP79" s="278" t="inlineStr"/>
      <c r="JXQ79" s="278" t="inlineStr"/>
      <c r="JXR79" s="278" t="inlineStr"/>
      <c r="JXS79" s="278" t="inlineStr"/>
      <c r="JXT79" s="278" t="inlineStr"/>
      <c r="JXU79" s="278" t="inlineStr"/>
      <c r="JXV79" s="278" t="inlineStr"/>
      <c r="JXW79" s="278" t="inlineStr"/>
      <c r="JXX79" s="278" t="inlineStr"/>
      <c r="JXY79" s="278" t="inlineStr"/>
      <c r="JXZ79" s="278" t="inlineStr"/>
      <c r="JYA79" s="278" t="inlineStr"/>
      <c r="JYB79" s="278" t="inlineStr"/>
      <c r="JYC79" s="278" t="inlineStr"/>
      <c r="JYD79" s="278" t="inlineStr"/>
      <c r="JYE79" s="278" t="inlineStr"/>
      <c r="JYF79" s="278" t="inlineStr"/>
      <c r="JYG79" s="278" t="inlineStr"/>
      <c r="JYH79" s="278" t="inlineStr"/>
      <c r="JYI79" s="278" t="inlineStr"/>
      <c r="JYJ79" s="278" t="inlineStr"/>
      <c r="JYK79" s="278" t="inlineStr"/>
      <c r="JYL79" s="278" t="inlineStr"/>
      <c r="JYM79" s="278" t="inlineStr"/>
      <c r="JYN79" s="278" t="inlineStr"/>
      <c r="JYO79" s="278" t="inlineStr"/>
      <c r="JYP79" s="278" t="inlineStr"/>
      <c r="JYQ79" s="278" t="inlineStr"/>
      <c r="JYR79" s="278" t="inlineStr"/>
      <c r="JYS79" s="278" t="inlineStr"/>
      <c r="JYT79" s="278" t="inlineStr"/>
      <c r="JYU79" s="278" t="inlineStr"/>
      <c r="JYV79" s="278" t="inlineStr"/>
      <c r="JYW79" s="278" t="inlineStr"/>
      <c r="JYX79" s="278" t="inlineStr"/>
      <c r="JYY79" s="278" t="inlineStr"/>
      <c r="JYZ79" s="278" t="inlineStr"/>
      <c r="JZA79" s="278" t="inlineStr"/>
      <c r="JZB79" s="278" t="inlineStr"/>
      <c r="JZC79" s="278" t="inlineStr"/>
      <c r="JZD79" s="278" t="inlineStr"/>
      <c r="JZE79" s="278" t="inlineStr"/>
      <c r="JZF79" s="278" t="inlineStr"/>
      <c r="JZG79" s="278" t="inlineStr"/>
      <c r="JZH79" s="278" t="inlineStr"/>
      <c r="JZI79" s="278" t="inlineStr"/>
      <c r="JZJ79" s="278" t="inlineStr"/>
      <c r="JZK79" s="278" t="inlineStr"/>
      <c r="JZL79" s="278" t="inlineStr"/>
      <c r="JZM79" s="278" t="inlineStr"/>
      <c r="JZN79" s="278" t="inlineStr"/>
      <c r="JZO79" s="278" t="inlineStr"/>
      <c r="JZP79" s="278" t="inlineStr"/>
      <c r="JZQ79" s="278" t="inlineStr"/>
      <c r="JZR79" s="278" t="inlineStr"/>
      <c r="JZS79" s="278" t="inlineStr"/>
      <c r="JZT79" s="278" t="inlineStr"/>
      <c r="JZU79" s="278" t="inlineStr"/>
      <c r="JZV79" s="278" t="inlineStr"/>
      <c r="JZW79" s="278" t="inlineStr"/>
      <c r="JZX79" s="278" t="inlineStr"/>
      <c r="JZY79" s="278" t="inlineStr"/>
      <c r="JZZ79" s="278" t="inlineStr"/>
      <c r="KAA79" s="278" t="inlineStr"/>
      <c r="KAB79" s="278" t="inlineStr"/>
      <c r="KAC79" s="278" t="inlineStr"/>
      <c r="KAD79" s="278" t="inlineStr"/>
      <c r="KAE79" s="278" t="inlineStr"/>
      <c r="KAF79" s="278" t="inlineStr"/>
      <c r="KAG79" s="278" t="inlineStr"/>
      <c r="KAH79" s="278" t="inlineStr"/>
      <c r="KAI79" s="278" t="inlineStr"/>
      <c r="KAJ79" s="278" t="inlineStr"/>
      <c r="KAK79" s="278" t="inlineStr"/>
      <c r="KAL79" s="278" t="inlineStr"/>
      <c r="KAM79" s="278" t="inlineStr"/>
      <c r="KAN79" s="278" t="inlineStr"/>
      <c r="KAO79" s="278" t="inlineStr"/>
      <c r="KAP79" s="278" t="inlineStr"/>
      <c r="KAQ79" s="278" t="inlineStr"/>
      <c r="KAR79" s="278" t="inlineStr"/>
      <c r="KAS79" s="278" t="inlineStr"/>
      <c r="KAT79" s="278" t="inlineStr"/>
      <c r="KAU79" s="278" t="inlineStr"/>
      <c r="KAV79" s="278" t="inlineStr"/>
      <c r="KAW79" s="278" t="inlineStr"/>
      <c r="KAX79" s="278" t="inlineStr"/>
      <c r="KAY79" s="278" t="inlineStr"/>
      <c r="KAZ79" s="278" t="inlineStr"/>
      <c r="KBA79" s="278" t="inlineStr"/>
      <c r="KBB79" s="278" t="inlineStr"/>
      <c r="KBC79" s="278" t="inlineStr"/>
      <c r="KBD79" s="278" t="inlineStr"/>
      <c r="KBE79" s="278" t="inlineStr"/>
      <c r="KBF79" s="278" t="inlineStr"/>
      <c r="KBG79" s="278" t="inlineStr"/>
      <c r="KBH79" s="278" t="inlineStr"/>
      <c r="KBI79" s="278" t="inlineStr"/>
      <c r="KBJ79" s="278" t="inlineStr"/>
      <c r="KBK79" s="278" t="inlineStr"/>
      <c r="KBL79" s="278" t="inlineStr"/>
      <c r="KBM79" s="278" t="inlineStr"/>
      <c r="KBN79" s="278" t="inlineStr"/>
      <c r="KBO79" s="278" t="inlineStr"/>
      <c r="KBP79" s="278" t="inlineStr"/>
      <c r="KBQ79" s="278" t="inlineStr"/>
      <c r="KBR79" s="278" t="inlineStr"/>
      <c r="KBS79" s="278" t="inlineStr"/>
      <c r="KBT79" s="278" t="inlineStr"/>
      <c r="KBU79" s="278" t="inlineStr"/>
      <c r="KBV79" s="278" t="inlineStr"/>
      <c r="KBW79" s="278" t="inlineStr"/>
      <c r="KBX79" s="278" t="inlineStr"/>
      <c r="KBY79" s="278" t="inlineStr"/>
      <c r="KBZ79" s="278" t="inlineStr"/>
      <c r="KCA79" s="278" t="inlineStr"/>
      <c r="KCB79" s="278" t="inlineStr"/>
      <c r="KCC79" s="278" t="inlineStr"/>
      <c r="KCD79" s="278" t="inlineStr"/>
      <c r="KCE79" s="278" t="inlineStr"/>
      <c r="KCF79" s="278" t="inlineStr"/>
      <c r="KCG79" s="278" t="inlineStr"/>
      <c r="KCH79" s="278" t="inlineStr"/>
      <c r="KCI79" s="278" t="inlineStr"/>
      <c r="KCJ79" s="278" t="inlineStr"/>
      <c r="KCK79" s="278" t="inlineStr"/>
      <c r="KCL79" s="278" t="inlineStr"/>
      <c r="KCM79" s="278" t="inlineStr"/>
      <c r="KCN79" s="278" t="inlineStr"/>
      <c r="KCO79" s="278" t="inlineStr"/>
      <c r="KCP79" s="278" t="inlineStr"/>
      <c r="KCQ79" s="278" t="inlineStr"/>
      <c r="KCR79" s="278" t="inlineStr"/>
      <c r="KCS79" s="278" t="inlineStr"/>
      <c r="KCT79" s="278" t="inlineStr"/>
      <c r="KCU79" s="278" t="inlineStr"/>
      <c r="KCV79" s="278" t="inlineStr"/>
      <c r="KCW79" s="278" t="inlineStr"/>
      <c r="KCX79" s="278" t="inlineStr"/>
      <c r="KCY79" s="278" t="inlineStr"/>
      <c r="KCZ79" s="278" t="inlineStr"/>
      <c r="KDA79" s="278" t="inlineStr"/>
      <c r="KDB79" s="278" t="inlineStr"/>
      <c r="KDC79" s="278" t="inlineStr"/>
      <c r="KDD79" s="278" t="inlineStr"/>
      <c r="KDE79" s="278" t="inlineStr"/>
      <c r="KDF79" s="278" t="inlineStr"/>
      <c r="KDG79" s="278" t="inlineStr"/>
      <c r="KDH79" s="278" t="inlineStr"/>
      <c r="KDI79" s="278" t="inlineStr"/>
      <c r="KDJ79" s="278" t="inlineStr"/>
      <c r="KDK79" s="278" t="inlineStr"/>
      <c r="KDL79" s="278" t="inlineStr"/>
      <c r="KDM79" s="278" t="inlineStr"/>
      <c r="KDN79" s="278" t="inlineStr"/>
      <c r="KDO79" s="278" t="inlineStr"/>
      <c r="KDP79" s="278" t="inlineStr"/>
      <c r="KDQ79" s="278" t="inlineStr"/>
      <c r="KDR79" s="278" t="inlineStr"/>
      <c r="KDS79" s="278" t="inlineStr"/>
      <c r="KDT79" s="278" t="inlineStr"/>
      <c r="KDU79" s="278" t="inlineStr"/>
      <c r="KDV79" s="278" t="inlineStr"/>
      <c r="KDW79" s="278" t="inlineStr"/>
      <c r="KDX79" s="278" t="inlineStr"/>
      <c r="KDY79" s="278" t="inlineStr"/>
      <c r="KDZ79" s="278" t="inlineStr"/>
      <c r="KEA79" s="278" t="inlineStr"/>
      <c r="KEB79" s="278" t="inlineStr"/>
      <c r="KEC79" s="278" t="inlineStr"/>
      <c r="KED79" s="278" t="inlineStr"/>
      <c r="KEE79" s="278" t="inlineStr"/>
      <c r="KEF79" s="278" t="inlineStr"/>
      <c r="KEG79" s="278" t="inlineStr"/>
      <c r="KEH79" s="278" t="inlineStr"/>
      <c r="KEI79" s="278" t="inlineStr"/>
      <c r="KEJ79" s="278" t="inlineStr"/>
      <c r="KEK79" s="278" t="inlineStr"/>
      <c r="KEL79" s="278" t="inlineStr"/>
      <c r="KEM79" s="278" t="inlineStr"/>
      <c r="KEN79" s="278" t="inlineStr"/>
      <c r="KEO79" s="278" t="inlineStr"/>
      <c r="KEP79" s="278" t="inlineStr"/>
      <c r="KEQ79" s="278" t="inlineStr"/>
      <c r="KER79" s="278" t="inlineStr"/>
      <c r="KES79" s="278" t="inlineStr"/>
      <c r="KET79" s="278" t="inlineStr"/>
      <c r="KEU79" s="278" t="inlineStr"/>
      <c r="KEV79" s="278" t="inlineStr"/>
      <c r="KEW79" s="278" t="inlineStr"/>
      <c r="KEX79" s="278" t="inlineStr"/>
      <c r="KEY79" s="278" t="inlineStr"/>
      <c r="KEZ79" s="278" t="inlineStr"/>
      <c r="KFA79" s="278" t="inlineStr"/>
      <c r="KFB79" s="278" t="inlineStr"/>
      <c r="KFC79" s="278" t="inlineStr"/>
      <c r="KFD79" s="278" t="inlineStr"/>
      <c r="KFE79" s="278" t="inlineStr"/>
      <c r="KFF79" s="278" t="inlineStr"/>
      <c r="KFG79" s="278" t="inlineStr"/>
      <c r="KFH79" s="278" t="inlineStr"/>
      <c r="KFI79" s="278" t="inlineStr"/>
      <c r="KFJ79" s="278" t="inlineStr"/>
      <c r="KFK79" s="278" t="inlineStr"/>
      <c r="KFL79" s="278" t="inlineStr"/>
      <c r="KFM79" s="278" t="inlineStr"/>
      <c r="KFN79" s="278" t="inlineStr"/>
      <c r="KFO79" s="278" t="inlineStr"/>
      <c r="KFP79" s="278" t="inlineStr"/>
      <c r="KFQ79" s="278" t="inlineStr"/>
      <c r="KFR79" s="278" t="inlineStr"/>
      <c r="KFS79" s="278" t="inlineStr"/>
      <c r="KFT79" s="278" t="inlineStr"/>
      <c r="KFU79" s="278" t="inlineStr"/>
      <c r="KFV79" s="278" t="inlineStr"/>
      <c r="KFW79" s="278" t="inlineStr"/>
      <c r="KFX79" s="278" t="inlineStr"/>
      <c r="KFY79" s="278" t="inlineStr"/>
      <c r="KFZ79" s="278" t="inlineStr"/>
      <c r="KGA79" s="278" t="inlineStr"/>
      <c r="KGB79" s="278" t="inlineStr"/>
      <c r="KGC79" s="278" t="inlineStr"/>
      <c r="KGD79" s="278" t="inlineStr"/>
      <c r="KGE79" s="278" t="inlineStr"/>
      <c r="KGF79" s="278" t="inlineStr"/>
      <c r="KGG79" s="278" t="inlineStr"/>
      <c r="KGH79" s="278" t="inlineStr"/>
      <c r="KGI79" s="278" t="inlineStr"/>
      <c r="KGJ79" s="278" t="inlineStr"/>
      <c r="KGK79" s="278" t="inlineStr"/>
      <c r="KGL79" s="278" t="inlineStr"/>
      <c r="KGM79" s="278" t="inlineStr"/>
      <c r="KGN79" s="278" t="inlineStr"/>
      <c r="KGO79" s="278" t="inlineStr"/>
      <c r="KGP79" s="278" t="inlineStr"/>
      <c r="KGQ79" s="278" t="inlineStr"/>
      <c r="KGR79" s="278" t="inlineStr"/>
      <c r="KGS79" s="278" t="inlineStr"/>
      <c r="KGT79" s="278" t="inlineStr"/>
      <c r="KGU79" s="278" t="inlineStr"/>
      <c r="KGV79" s="278" t="inlineStr"/>
      <c r="KGW79" s="278" t="inlineStr"/>
      <c r="KGX79" s="278" t="inlineStr"/>
      <c r="KGY79" s="278" t="inlineStr"/>
      <c r="KGZ79" s="278" t="inlineStr"/>
      <c r="KHA79" s="278" t="inlineStr"/>
      <c r="KHB79" s="278" t="inlineStr"/>
      <c r="KHC79" s="278" t="inlineStr"/>
      <c r="KHD79" s="278" t="inlineStr"/>
      <c r="KHE79" s="278" t="inlineStr"/>
      <c r="KHF79" s="278" t="inlineStr"/>
      <c r="KHG79" s="278" t="inlineStr"/>
      <c r="KHH79" s="278" t="inlineStr"/>
      <c r="KHI79" s="278" t="inlineStr"/>
      <c r="KHJ79" s="278" t="inlineStr"/>
      <c r="KHK79" s="278" t="inlineStr"/>
      <c r="KHL79" s="278" t="inlineStr"/>
      <c r="KHM79" s="278" t="inlineStr"/>
      <c r="KHN79" s="278" t="inlineStr"/>
      <c r="KHO79" s="278" t="inlineStr"/>
      <c r="KHP79" s="278" t="inlineStr"/>
      <c r="KHQ79" s="278" t="inlineStr"/>
      <c r="KHR79" s="278" t="inlineStr"/>
      <c r="KHS79" s="278" t="inlineStr"/>
      <c r="KHT79" s="278" t="inlineStr"/>
      <c r="KHU79" s="278" t="inlineStr"/>
      <c r="KHV79" s="278" t="inlineStr"/>
      <c r="KHW79" s="278" t="inlineStr"/>
      <c r="KHX79" s="278" t="inlineStr"/>
      <c r="KHY79" s="278" t="inlineStr"/>
      <c r="KHZ79" s="278" t="inlineStr"/>
      <c r="KIA79" s="278" t="inlineStr"/>
      <c r="KIB79" s="278" t="inlineStr"/>
      <c r="KIC79" s="278" t="inlineStr"/>
      <c r="KID79" s="278" t="inlineStr"/>
      <c r="KIE79" s="278" t="inlineStr"/>
      <c r="KIF79" s="278" t="inlineStr"/>
      <c r="KIG79" s="278" t="inlineStr"/>
      <c r="KIH79" s="278" t="inlineStr"/>
      <c r="KII79" s="278" t="inlineStr"/>
      <c r="KIJ79" s="278" t="inlineStr"/>
      <c r="KIK79" s="278" t="inlineStr"/>
      <c r="KIL79" s="278" t="inlineStr"/>
      <c r="KIM79" s="278" t="inlineStr"/>
      <c r="KIN79" s="278" t="inlineStr"/>
      <c r="KIO79" s="278" t="inlineStr"/>
      <c r="KIP79" s="278" t="inlineStr"/>
      <c r="KIQ79" s="278" t="inlineStr"/>
      <c r="KIR79" s="278" t="inlineStr"/>
      <c r="KIS79" s="278" t="inlineStr"/>
      <c r="KIT79" s="278" t="inlineStr"/>
      <c r="KIU79" s="278" t="inlineStr"/>
      <c r="KIV79" s="278" t="inlineStr"/>
      <c r="KIW79" s="278" t="inlineStr"/>
      <c r="KIX79" s="278" t="inlineStr"/>
      <c r="KIY79" s="278" t="inlineStr"/>
      <c r="KIZ79" s="278" t="inlineStr"/>
      <c r="KJA79" s="278" t="inlineStr"/>
      <c r="KJB79" s="278" t="inlineStr"/>
      <c r="KJC79" s="278" t="inlineStr"/>
      <c r="KJD79" s="278" t="inlineStr"/>
      <c r="KJE79" s="278" t="inlineStr"/>
      <c r="KJF79" s="278" t="inlineStr"/>
      <c r="KJG79" s="278" t="inlineStr"/>
      <c r="KJH79" s="278" t="inlineStr"/>
      <c r="KJI79" s="278" t="inlineStr"/>
      <c r="KJJ79" s="278" t="inlineStr"/>
      <c r="KJK79" s="278" t="inlineStr"/>
      <c r="KJL79" s="278" t="inlineStr"/>
      <c r="KJM79" s="278" t="inlineStr"/>
      <c r="KJN79" s="278" t="inlineStr"/>
      <c r="KJO79" s="278" t="inlineStr"/>
      <c r="KJP79" s="278" t="inlineStr"/>
      <c r="KJQ79" s="278" t="inlineStr"/>
      <c r="KJR79" s="278" t="inlineStr"/>
      <c r="KJS79" s="278" t="inlineStr"/>
      <c r="KJT79" s="278" t="inlineStr"/>
      <c r="KJU79" s="278" t="inlineStr"/>
      <c r="KJV79" s="278" t="inlineStr"/>
      <c r="KJW79" s="278" t="inlineStr"/>
      <c r="KJX79" s="278" t="inlineStr"/>
      <c r="KJY79" s="278" t="inlineStr"/>
      <c r="KJZ79" s="278" t="inlineStr"/>
      <c r="KKA79" s="278" t="inlineStr"/>
      <c r="KKB79" s="278" t="inlineStr"/>
      <c r="KKC79" s="278" t="inlineStr"/>
      <c r="KKD79" s="278" t="inlineStr"/>
      <c r="KKE79" s="278" t="inlineStr"/>
      <c r="KKF79" s="278" t="inlineStr"/>
      <c r="KKG79" s="278" t="inlineStr"/>
      <c r="KKH79" s="278" t="inlineStr"/>
      <c r="KKI79" s="278" t="inlineStr"/>
      <c r="KKJ79" s="278" t="inlineStr"/>
      <c r="KKK79" s="278" t="inlineStr"/>
      <c r="KKL79" s="278" t="inlineStr"/>
      <c r="KKM79" s="278" t="inlineStr"/>
      <c r="KKN79" s="278" t="inlineStr"/>
      <c r="KKO79" s="278" t="inlineStr"/>
      <c r="KKP79" s="278" t="inlineStr"/>
      <c r="KKQ79" s="278" t="inlineStr"/>
      <c r="KKR79" s="278" t="inlineStr"/>
      <c r="KKS79" s="278" t="inlineStr"/>
      <c r="KKT79" s="278" t="inlineStr"/>
      <c r="KKU79" s="278" t="inlineStr"/>
      <c r="KKV79" s="278" t="inlineStr"/>
      <c r="KKW79" s="278" t="inlineStr"/>
      <c r="KKX79" s="278" t="inlineStr"/>
      <c r="KKY79" s="278" t="inlineStr"/>
      <c r="KKZ79" s="278" t="inlineStr"/>
      <c r="KLA79" s="278" t="inlineStr"/>
      <c r="KLB79" s="278" t="inlineStr"/>
      <c r="KLC79" s="278" t="inlineStr"/>
      <c r="KLD79" s="278" t="inlineStr"/>
      <c r="KLE79" s="278" t="inlineStr"/>
      <c r="KLF79" s="278" t="inlineStr"/>
      <c r="KLG79" s="278" t="inlineStr"/>
      <c r="KLH79" s="278" t="inlineStr"/>
      <c r="KLI79" s="278" t="inlineStr"/>
      <c r="KLJ79" s="278" t="inlineStr"/>
      <c r="KLK79" s="278" t="inlineStr"/>
      <c r="KLL79" s="278" t="inlineStr"/>
      <c r="KLM79" s="278" t="inlineStr"/>
      <c r="KLN79" s="278" t="inlineStr"/>
      <c r="KLO79" s="278" t="inlineStr"/>
      <c r="KLP79" s="278" t="inlineStr"/>
      <c r="KLQ79" s="278" t="inlineStr"/>
      <c r="KLR79" s="278" t="inlineStr"/>
      <c r="KLS79" s="278" t="inlineStr"/>
      <c r="KLT79" s="278" t="inlineStr"/>
      <c r="KLU79" s="278" t="inlineStr"/>
      <c r="KLV79" s="278" t="inlineStr"/>
      <c r="KLW79" s="278" t="inlineStr"/>
      <c r="KLX79" s="278" t="inlineStr"/>
      <c r="KLY79" s="278" t="inlineStr"/>
      <c r="KLZ79" s="278" t="inlineStr"/>
      <c r="KMA79" s="278" t="inlineStr"/>
      <c r="KMB79" s="278" t="inlineStr"/>
      <c r="KMC79" s="278" t="inlineStr"/>
      <c r="KMD79" s="278" t="inlineStr"/>
      <c r="KME79" s="278" t="inlineStr"/>
      <c r="KMF79" s="278" t="inlineStr"/>
      <c r="KMG79" s="278" t="inlineStr"/>
      <c r="KMH79" s="278" t="inlineStr"/>
      <c r="KMI79" s="278" t="inlineStr"/>
      <c r="KMJ79" s="278" t="inlineStr"/>
      <c r="KMK79" s="278" t="inlineStr"/>
      <c r="KML79" s="278" t="inlineStr"/>
      <c r="KMM79" s="278" t="inlineStr"/>
      <c r="KMN79" s="278" t="inlineStr"/>
      <c r="KMO79" s="278" t="inlineStr"/>
      <c r="KMP79" s="278" t="inlineStr"/>
      <c r="KMQ79" s="278" t="inlineStr"/>
      <c r="KMR79" s="278" t="inlineStr"/>
      <c r="KMS79" s="278" t="inlineStr"/>
      <c r="KMT79" s="278" t="inlineStr"/>
      <c r="KMU79" s="278" t="inlineStr"/>
      <c r="KMV79" s="278" t="inlineStr"/>
      <c r="KMW79" s="278" t="inlineStr"/>
      <c r="KMX79" s="278" t="inlineStr"/>
      <c r="KMY79" s="278" t="inlineStr"/>
      <c r="KMZ79" s="278" t="inlineStr"/>
      <c r="KNA79" s="278" t="inlineStr"/>
      <c r="KNB79" s="278" t="inlineStr"/>
      <c r="KNC79" s="278" t="inlineStr"/>
      <c r="KND79" s="278" t="inlineStr"/>
      <c r="KNE79" s="278" t="inlineStr"/>
      <c r="KNF79" s="278" t="inlineStr"/>
      <c r="KNG79" s="278" t="inlineStr"/>
      <c r="KNH79" s="278" t="inlineStr"/>
      <c r="KNI79" s="278" t="inlineStr"/>
      <c r="KNJ79" s="278" t="inlineStr"/>
      <c r="KNK79" s="278" t="inlineStr"/>
      <c r="KNL79" s="278" t="inlineStr"/>
      <c r="KNM79" s="278" t="inlineStr"/>
      <c r="KNN79" s="278" t="inlineStr"/>
      <c r="KNO79" s="278" t="inlineStr"/>
      <c r="KNP79" s="278" t="inlineStr"/>
      <c r="KNQ79" s="278" t="inlineStr"/>
      <c r="KNR79" s="278" t="inlineStr"/>
      <c r="KNS79" s="278" t="inlineStr"/>
      <c r="KNT79" s="278" t="inlineStr"/>
      <c r="KNU79" s="278" t="inlineStr"/>
      <c r="KNV79" s="278" t="inlineStr"/>
      <c r="KNW79" s="278" t="inlineStr"/>
      <c r="KNX79" s="278" t="inlineStr"/>
      <c r="KNY79" s="278" t="inlineStr"/>
      <c r="KNZ79" s="278" t="inlineStr"/>
      <c r="KOA79" s="278" t="inlineStr"/>
      <c r="KOB79" s="278" t="inlineStr"/>
      <c r="KOC79" s="278" t="inlineStr"/>
      <c r="KOD79" s="278" t="inlineStr"/>
      <c r="KOE79" s="278" t="inlineStr"/>
      <c r="KOF79" s="278" t="inlineStr"/>
      <c r="KOG79" s="278" t="inlineStr"/>
      <c r="KOH79" s="278" t="inlineStr"/>
      <c r="KOI79" s="278" t="inlineStr"/>
      <c r="KOJ79" s="278" t="inlineStr"/>
      <c r="KOK79" s="278" t="inlineStr"/>
      <c r="KOL79" s="278" t="inlineStr"/>
      <c r="KOM79" s="278" t="inlineStr"/>
      <c r="KON79" s="278" t="inlineStr"/>
      <c r="KOO79" s="278" t="inlineStr"/>
      <c r="KOP79" s="278" t="inlineStr"/>
      <c r="KOQ79" s="278" t="inlineStr"/>
      <c r="KOR79" s="278" t="inlineStr"/>
      <c r="KOS79" s="278" t="inlineStr"/>
      <c r="KOT79" s="278" t="inlineStr"/>
      <c r="KOU79" s="278" t="inlineStr"/>
      <c r="KOV79" s="278" t="inlineStr"/>
      <c r="KOW79" s="278" t="inlineStr"/>
      <c r="KOX79" s="278" t="inlineStr"/>
      <c r="KOY79" s="278" t="inlineStr"/>
      <c r="KOZ79" s="278" t="inlineStr"/>
      <c r="KPA79" s="278" t="inlineStr"/>
      <c r="KPB79" s="278" t="inlineStr"/>
      <c r="KPC79" s="278" t="inlineStr"/>
      <c r="KPD79" s="278" t="inlineStr"/>
      <c r="KPE79" s="278" t="inlineStr"/>
      <c r="KPF79" s="278" t="inlineStr"/>
      <c r="KPG79" s="278" t="inlineStr"/>
      <c r="KPH79" s="278" t="inlineStr"/>
      <c r="KPI79" s="278" t="inlineStr"/>
      <c r="KPJ79" s="278" t="inlineStr"/>
      <c r="KPK79" s="278" t="inlineStr"/>
      <c r="KPL79" s="278" t="inlineStr"/>
      <c r="KPM79" s="278" t="inlineStr"/>
      <c r="KPN79" s="278" t="inlineStr"/>
      <c r="KPO79" s="278" t="inlineStr"/>
      <c r="KPP79" s="278" t="inlineStr"/>
      <c r="KPQ79" s="278" t="inlineStr"/>
      <c r="KPR79" s="278" t="inlineStr"/>
      <c r="KPS79" s="278" t="inlineStr"/>
      <c r="KPT79" s="278" t="inlineStr"/>
      <c r="KPU79" s="278" t="inlineStr"/>
      <c r="KPV79" s="278" t="inlineStr"/>
      <c r="KPW79" s="278" t="inlineStr"/>
      <c r="KPX79" s="278" t="inlineStr"/>
      <c r="KPY79" s="278" t="inlineStr"/>
      <c r="KPZ79" s="278" t="inlineStr"/>
      <c r="KQA79" s="278" t="inlineStr"/>
      <c r="KQB79" s="278" t="inlineStr"/>
      <c r="KQC79" s="278" t="inlineStr"/>
      <c r="KQD79" s="278" t="inlineStr"/>
      <c r="KQE79" s="278" t="inlineStr"/>
      <c r="KQF79" s="278" t="inlineStr"/>
      <c r="KQG79" s="278" t="inlineStr"/>
      <c r="KQH79" s="278" t="inlineStr"/>
      <c r="KQI79" s="278" t="inlineStr"/>
      <c r="KQJ79" s="278" t="inlineStr"/>
      <c r="KQK79" s="278" t="inlineStr"/>
      <c r="KQL79" s="278" t="inlineStr"/>
      <c r="KQM79" s="278" t="inlineStr"/>
      <c r="KQN79" s="278" t="inlineStr"/>
      <c r="KQO79" s="278" t="inlineStr"/>
      <c r="KQP79" s="278" t="inlineStr"/>
      <c r="KQQ79" s="278" t="inlineStr"/>
      <c r="KQR79" s="278" t="inlineStr"/>
      <c r="KQS79" s="278" t="inlineStr"/>
      <c r="KQT79" s="278" t="inlineStr"/>
      <c r="KQU79" s="278" t="inlineStr"/>
      <c r="KQV79" s="278" t="inlineStr"/>
      <c r="KQW79" s="278" t="inlineStr"/>
      <c r="KQX79" s="278" t="inlineStr"/>
      <c r="KQY79" s="278" t="inlineStr"/>
      <c r="KQZ79" s="278" t="inlineStr"/>
      <c r="KRA79" s="278" t="inlineStr"/>
      <c r="KRB79" s="278" t="inlineStr"/>
      <c r="KRC79" s="278" t="inlineStr"/>
      <c r="KRD79" s="278" t="inlineStr"/>
      <c r="KRE79" s="278" t="inlineStr"/>
      <c r="KRF79" s="278" t="inlineStr"/>
      <c r="KRG79" s="278" t="inlineStr"/>
      <c r="KRH79" s="278" t="inlineStr"/>
      <c r="KRI79" s="278" t="inlineStr"/>
      <c r="KRJ79" s="278" t="inlineStr"/>
      <c r="KRK79" s="278" t="inlineStr"/>
      <c r="KRL79" s="278" t="inlineStr"/>
      <c r="KRM79" s="278" t="inlineStr"/>
      <c r="KRN79" s="278" t="inlineStr"/>
      <c r="KRO79" s="278" t="inlineStr"/>
      <c r="KRP79" s="278" t="inlineStr"/>
      <c r="KRQ79" s="278" t="inlineStr"/>
      <c r="KRR79" s="278" t="inlineStr"/>
      <c r="KRS79" s="278" t="inlineStr"/>
      <c r="KRT79" s="278" t="inlineStr"/>
      <c r="KRU79" s="278" t="inlineStr"/>
      <c r="KRV79" s="278" t="inlineStr"/>
      <c r="KRW79" s="278" t="inlineStr"/>
      <c r="KRX79" s="278" t="inlineStr"/>
      <c r="KRY79" s="278" t="inlineStr"/>
      <c r="KRZ79" s="278" t="inlineStr"/>
      <c r="KSA79" s="278" t="inlineStr"/>
      <c r="KSB79" s="278" t="inlineStr"/>
      <c r="KSC79" s="278" t="inlineStr"/>
      <c r="KSD79" s="278" t="inlineStr"/>
      <c r="KSE79" s="278" t="inlineStr"/>
      <c r="KSF79" s="278" t="inlineStr"/>
      <c r="KSG79" s="278" t="inlineStr"/>
      <c r="KSH79" s="278" t="inlineStr"/>
      <c r="KSI79" s="278" t="inlineStr"/>
      <c r="KSJ79" s="278" t="inlineStr"/>
      <c r="KSK79" s="278" t="inlineStr"/>
      <c r="KSL79" s="278" t="inlineStr"/>
      <c r="KSM79" s="278" t="inlineStr"/>
      <c r="KSN79" s="278" t="inlineStr"/>
      <c r="KSO79" s="278" t="inlineStr"/>
      <c r="KSP79" s="278" t="inlineStr"/>
      <c r="KSQ79" s="278" t="inlineStr"/>
      <c r="KSR79" s="278" t="inlineStr"/>
      <c r="KSS79" s="278" t="inlineStr"/>
      <c r="KST79" s="278" t="inlineStr"/>
      <c r="KSU79" s="278" t="inlineStr"/>
      <c r="KSV79" s="278" t="inlineStr"/>
      <c r="KSW79" s="278" t="inlineStr"/>
      <c r="KSX79" s="278" t="inlineStr"/>
      <c r="KSY79" s="278" t="inlineStr"/>
      <c r="KSZ79" s="278" t="inlineStr"/>
      <c r="KTA79" s="278" t="inlineStr"/>
      <c r="KTB79" s="278" t="inlineStr"/>
      <c r="KTC79" s="278" t="inlineStr"/>
      <c r="KTD79" s="278" t="inlineStr"/>
      <c r="KTE79" s="278" t="inlineStr"/>
      <c r="KTF79" s="278" t="inlineStr"/>
      <c r="KTG79" s="278" t="inlineStr"/>
      <c r="KTH79" s="278" t="inlineStr"/>
      <c r="KTI79" s="278" t="inlineStr"/>
      <c r="KTJ79" s="278" t="inlineStr"/>
      <c r="KTK79" s="278" t="inlineStr"/>
      <c r="KTL79" s="278" t="inlineStr"/>
      <c r="KTM79" s="278" t="inlineStr"/>
      <c r="KTN79" s="278" t="inlineStr"/>
      <c r="KTO79" s="278" t="inlineStr"/>
      <c r="KTP79" s="278" t="inlineStr"/>
      <c r="KTQ79" s="278" t="inlineStr"/>
      <c r="KTR79" s="278" t="inlineStr"/>
      <c r="KTS79" s="278" t="inlineStr"/>
      <c r="KTT79" s="278" t="inlineStr"/>
      <c r="KTU79" s="278" t="inlineStr"/>
      <c r="KTV79" s="278" t="inlineStr"/>
      <c r="KTW79" s="278" t="inlineStr"/>
      <c r="KTX79" s="278" t="inlineStr"/>
      <c r="KTY79" s="278" t="inlineStr"/>
      <c r="KTZ79" s="278" t="inlineStr"/>
      <c r="KUA79" s="278" t="inlineStr"/>
      <c r="KUB79" s="278" t="inlineStr"/>
      <c r="KUC79" s="278" t="inlineStr"/>
      <c r="KUD79" s="278" t="inlineStr"/>
      <c r="KUE79" s="278" t="inlineStr"/>
      <c r="KUF79" s="278" t="inlineStr"/>
      <c r="KUG79" s="278" t="inlineStr"/>
      <c r="KUH79" s="278" t="inlineStr"/>
      <c r="KUI79" s="278" t="inlineStr"/>
      <c r="KUJ79" s="278" t="inlineStr"/>
      <c r="KUK79" s="278" t="inlineStr"/>
      <c r="KUL79" s="278" t="inlineStr"/>
      <c r="KUM79" s="278" t="inlineStr"/>
      <c r="KUN79" s="278" t="inlineStr"/>
      <c r="KUO79" s="278" t="inlineStr"/>
      <c r="KUP79" s="278" t="inlineStr"/>
      <c r="KUQ79" s="278" t="inlineStr"/>
      <c r="KUR79" s="278" t="inlineStr"/>
      <c r="KUS79" s="278" t="inlineStr"/>
      <c r="KUT79" s="278" t="inlineStr"/>
      <c r="KUU79" s="278" t="inlineStr"/>
      <c r="KUV79" s="278" t="inlineStr"/>
      <c r="KUW79" s="278" t="inlineStr"/>
      <c r="KUX79" s="278" t="inlineStr"/>
      <c r="KUY79" s="278" t="inlineStr"/>
      <c r="KUZ79" s="278" t="inlineStr"/>
      <c r="KVA79" s="278" t="inlineStr"/>
      <c r="KVB79" s="278" t="inlineStr"/>
      <c r="KVC79" s="278" t="inlineStr"/>
      <c r="KVD79" s="278" t="inlineStr"/>
      <c r="KVE79" s="278" t="inlineStr"/>
      <c r="KVF79" s="278" t="inlineStr"/>
      <c r="KVG79" s="278" t="inlineStr"/>
      <c r="KVH79" s="278" t="inlineStr"/>
      <c r="KVI79" s="278" t="inlineStr"/>
      <c r="KVJ79" s="278" t="inlineStr"/>
      <c r="KVK79" s="278" t="inlineStr"/>
      <c r="KVL79" s="278" t="inlineStr"/>
      <c r="KVM79" s="278" t="inlineStr"/>
      <c r="KVN79" s="278" t="inlineStr"/>
      <c r="KVO79" s="278" t="inlineStr"/>
      <c r="KVP79" s="278" t="inlineStr"/>
      <c r="KVQ79" s="278" t="inlineStr"/>
      <c r="KVR79" s="278" t="inlineStr"/>
      <c r="KVS79" s="278" t="inlineStr"/>
      <c r="KVT79" s="278" t="inlineStr"/>
      <c r="KVU79" s="278" t="inlineStr"/>
      <c r="KVV79" s="278" t="inlineStr"/>
      <c r="KVW79" s="278" t="inlineStr"/>
      <c r="KVX79" s="278" t="inlineStr"/>
      <c r="KVY79" s="278" t="inlineStr"/>
      <c r="KVZ79" s="278" t="inlineStr"/>
      <c r="KWA79" s="278" t="inlineStr"/>
      <c r="KWB79" s="278" t="inlineStr"/>
      <c r="KWC79" s="278" t="inlineStr"/>
      <c r="KWD79" s="278" t="inlineStr"/>
      <c r="KWE79" s="278" t="inlineStr"/>
      <c r="KWF79" s="278" t="inlineStr"/>
      <c r="KWG79" s="278" t="inlineStr"/>
      <c r="KWH79" s="278" t="inlineStr"/>
      <c r="KWI79" s="278" t="inlineStr"/>
      <c r="KWJ79" s="278" t="inlineStr"/>
      <c r="KWK79" s="278" t="inlineStr"/>
      <c r="KWL79" s="278" t="inlineStr"/>
      <c r="KWM79" s="278" t="inlineStr"/>
      <c r="KWN79" s="278" t="inlineStr"/>
      <c r="KWO79" s="278" t="inlineStr"/>
      <c r="KWP79" s="278" t="inlineStr"/>
      <c r="KWQ79" s="278" t="inlineStr"/>
      <c r="KWR79" s="278" t="inlineStr"/>
      <c r="KWS79" s="278" t="inlineStr"/>
      <c r="KWT79" s="278" t="inlineStr"/>
      <c r="KWU79" s="278" t="inlineStr"/>
      <c r="KWV79" s="278" t="inlineStr"/>
      <c r="KWW79" s="278" t="inlineStr"/>
      <c r="KWX79" s="278" t="inlineStr"/>
      <c r="KWY79" s="278" t="inlineStr"/>
      <c r="KWZ79" s="278" t="inlineStr"/>
      <c r="KXA79" s="278" t="inlineStr"/>
      <c r="KXB79" s="278" t="inlineStr"/>
      <c r="KXC79" s="278" t="inlineStr"/>
      <c r="KXD79" s="278" t="inlineStr"/>
      <c r="KXE79" s="278" t="inlineStr"/>
      <c r="KXF79" s="278" t="inlineStr"/>
      <c r="KXG79" s="278" t="inlineStr"/>
      <c r="KXH79" s="278" t="inlineStr"/>
      <c r="KXI79" s="278" t="inlineStr"/>
      <c r="KXJ79" s="278" t="inlineStr"/>
      <c r="KXK79" s="278" t="inlineStr"/>
      <c r="KXL79" s="278" t="inlineStr"/>
      <c r="KXM79" s="278" t="inlineStr"/>
      <c r="KXN79" s="278" t="inlineStr"/>
      <c r="KXO79" s="278" t="inlineStr"/>
      <c r="KXP79" s="278" t="inlineStr"/>
      <c r="KXQ79" s="278" t="inlineStr"/>
      <c r="KXR79" s="278" t="inlineStr"/>
      <c r="KXS79" s="278" t="inlineStr"/>
      <c r="KXT79" s="278" t="inlineStr"/>
      <c r="KXU79" s="278" t="inlineStr"/>
      <c r="KXV79" s="278" t="inlineStr"/>
      <c r="KXW79" s="278" t="inlineStr"/>
      <c r="KXX79" s="278" t="inlineStr"/>
      <c r="KXY79" s="278" t="inlineStr"/>
      <c r="KXZ79" s="278" t="inlineStr"/>
      <c r="KYA79" s="278" t="inlineStr"/>
      <c r="KYB79" s="278" t="inlineStr"/>
      <c r="KYC79" s="278" t="inlineStr"/>
      <c r="KYD79" s="278" t="inlineStr"/>
      <c r="KYE79" s="278" t="inlineStr"/>
      <c r="KYF79" s="278" t="inlineStr"/>
      <c r="KYG79" s="278" t="inlineStr"/>
      <c r="KYH79" s="278" t="inlineStr"/>
      <c r="KYI79" s="278" t="inlineStr"/>
      <c r="KYJ79" s="278" t="inlineStr"/>
      <c r="KYK79" s="278" t="inlineStr"/>
      <c r="KYL79" s="278" t="inlineStr"/>
      <c r="KYM79" s="278" t="inlineStr"/>
      <c r="KYN79" s="278" t="inlineStr"/>
      <c r="KYO79" s="278" t="inlineStr"/>
      <c r="KYP79" s="278" t="inlineStr"/>
      <c r="KYQ79" s="278" t="inlineStr"/>
      <c r="KYR79" s="278" t="inlineStr"/>
      <c r="KYS79" s="278" t="inlineStr"/>
      <c r="KYT79" s="278" t="inlineStr"/>
      <c r="KYU79" s="278" t="inlineStr"/>
      <c r="KYV79" s="278" t="inlineStr"/>
      <c r="KYW79" s="278" t="inlineStr"/>
      <c r="KYX79" s="278" t="inlineStr"/>
      <c r="KYY79" s="278" t="inlineStr"/>
      <c r="KYZ79" s="278" t="inlineStr"/>
      <c r="KZA79" s="278" t="inlineStr"/>
      <c r="KZB79" s="278" t="inlineStr"/>
      <c r="KZC79" s="278" t="inlineStr"/>
      <c r="KZD79" s="278" t="inlineStr"/>
      <c r="KZE79" s="278" t="inlineStr"/>
      <c r="KZF79" s="278" t="inlineStr"/>
      <c r="KZG79" s="278" t="inlineStr"/>
      <c r="KZH79" s="278" t="inlineStr"/>
      <c r="KZI79" s="278" t="inlineStr"/>
      <c r="KZJ79" s="278" t="inlineStr"/>
      <c r="KZK79" s="278" t="inlineStr"/>
      <c r="KZL79" s="278" t="inlineStr"/>
      <c r="KZM79" s="278" t="inlineStr"/>
      <c r="KZN79" s="278" t="inlineStr"/>
      <c r="KZO79" s="278" t="inlineStr"/>
      <c r="KZP79" s="278" t="inlineStr"/>
      <c r="KZQ79" s="278" t="inlineStr"/>
      <c r="KZR79" s="278" t="inlineStr"/>
      <c r="KZS79" s="278" t="inlineStr"/>
      <c r="KZT79" s="278" t="inlineStr"/>
      <c r="KZU79" s="278" t="inlineStr"/>
      <c r="KZV79" s="278" t="inlineStr"/>
      <c r="KZW79" s="278" t="inlineStr"/>
      <c r="KZX79" s="278" t="inlineStr"/>
      <c r="KZY79" s="278" t="inlineStr"/>
      <c r="KZZ79" s="278" t="inlineStr"/>
      <c r="LAA79" s="278" t="inlineStr"/>
      <c r="LAB79" s="278" t="inlineStr"/>
      <c r="LAC79" s="278" t="inlineStr"/>
      <c r="LAD79" s="278" t="inlineStr"/>
      <c r="LAE79" s="278" t="inlineStr"/>
      <c r="LAF79" s="278" t="inlineStr"/>
      <c r="LAG79" s="278" t="inlineStr"/>
      <c r="LAH79" s="278" t="inlineStr"/>
      <c r="LAI79" s="278" t="inlineStr"/>
      <c r="LAJ79" s="278" t="inlineStr"/>
      <c r="LAK79" s="278" t="inlineStr"/>
      <c r="LAL79" s="278" t="inlineStr"/>
      <c r="LAM79" s="278" t="inlineStr"/>
      <c r="LAN79" s="278" t="inlineStr"/>
      <c r="LAO79" s="278" t="inlineStr"/>
      <c r="LAP79" s="278" t="inlineStr"/>
      <c r="LAQ79" s="278" t="inlineStr"/>
      <c r="LAR79" s="278" t="inlineStr"/>
      <c r="LAS79" s="278" t="inlineStr"/>
      <c r="LAT79" s="278" t="inlineStr"/>
      <c r="LAU79" s="278" t="inlineStr"/>
      <c r="LAV79" s="278" t="inlineStr"/>
      <c r="LAW79" s="278" t="inlineStr"/>
      <c r="LAX79" s="278" t="inlineStr"/>
      <c r="LAY79" s="278" t="inlineStr"/>
      <c r="LAZ79" s="278" t="inlineStr"/>
      <c r="LBA79" s="278" t="inlineStr"/>
      <c r="LBB79" s="278" t="inlineStr"/>
      <c r="LBC79" s="278" t="inlineStr"/>
      <c r="LBD79" s="278" t="inlineStr"/>
      <c r="LBE79" s="278" t="inlineStr"/>
      <c r="LBF79" s="278" t="inlineStr"/>
      <c r="LBG79" s="278" t="inlineStr"/>
      <c r="LBH79" s="278" t="inlineStr"/>
      <c r="LBI79" s="278" t="inlineStr"/>
      <c r="LBJ79" s="278" t="inlineStr"/>
      <c r="LBK79" s="278" t="inlineStr"/>
      <c r="LBL79" s="278" t="inlineStr"/>
      <c r="LBM79" s="278" t="inlineStr"/>
      <c r="LBN79" s="278" t="inlineStr"/>
      <c r="LBO79" s="278" t="inlineStr"/>
      <c r="LBP79" s="278" t="inlineStr"/>
      <c r="LBQ79" s="278" t="inlineStr"/>
      <c r="LBR79" s="278" t="inlineStr"/>
      <c r="LBS79" s="278" t="inlineStr"/>
      <c r="LBT79" s="278" t="inlineStr"/>
      <c r="LBU79" s="278" t="inlineStr"/>
      <c r="LBV79" s="278" t="inlineStr"/>
      <c r="LBW79" s="278" t="inlineStr"/>
      <c r="LBX79" s="278" t="inlineStr"/>
      <c r="LBY79" s="278" t="inlineStr"/>
      <c r="LBZ79" s="278" t="inlineStr"/>
      <c r="LCA79" s="278" t="inlineStr"/>
      <c r="LCB79" s="278" t="inlineStr"/>
      <c r="LCC79" s="278" t="inlineStr"/>
      <c r="LCD79" s="278" t="inlineStr"/>
      <c r="LCE79" s="278" t="inlineStr"/>
      <c r="LCF79" s="278" t="inlineStr"/>
      <c r="LCG79" s="278" t="inlineStr"/>
      <c r="LCH79" s="278" t="inlineStr"/>
      <c r="LCI79" s="278" t="inlineStr"/>
      <c r="LCJ79" s="278" t="inlineStr"/>
      <c r="LCK79" s="278" t="inlineStr"/>
      <c r="LCL79" s="278" t="inlineStr"/>
      <c r="LCM79" s="278" t="inlineStr"/>
      <c r="LCN79" s="278" t="inlineStr"/>
      <c r="LCO79" s="278" t="inlineStr"/>
      <c r="LCP79" s="278" t="inlineStr"/>
      <c r="LCQ79" s="278" t="inlineStr"/>
      <c r="LCR79" s="278" t="inlineStr"/>
      <c r="LCS79" s="278" t="inlineStr"/>
      <c r="LCT79" s="278" t="inlineStr"/>
      <c r="LCU79" s="278" t="inlineStr"/>
      <c r="LCV79" s="278" t="inlineStr"/>
      <c r="LCW79" s="278" t="inlineStr"/>
      <c r="LCX79" s="278" t="inlineStr"/>
      <c r="LCY79" s="278" t="inlineStr"/>
      <c r="LCZ79" s="278" t="inlineStr"/>
      <c r="LDA79" s="278" t="inlineStr"/>
      <c r="LDB79" s="278" t="inlineStr"/>
      <c r="LDC79" s="278" t="inlineStr"/>
      <c r="LDD79" s="278" t="inlineStr"/>
      <c r="LDE79" s="278" t="inlineStr"/>
      <c r="LDF79" s="278" t="inlineStr"/>
      <c r="LDG79" s="278" t="inlineStr"/>
      <c r="LDH79" s="278" t="inlineStr"/>
      <c r="LDI79" s="278" t="inlineStr"/>
      <c r="LDJ79" s="278" t="inlineStr"/>
      <c r="LDK79" s="278" t="inlineStr"/>
      <c r="LDL79" s="278" t="inlineStr"/>
      <c r="LDM79" s="278" t="inlineStr"/>
      <c r="LDN79" s="278" t="inlineStr"/>
      <c r="LDO79" s="278" t="inlineStr"/>
      <c r="LDP79" s="278" t="inlineStr"/>
      <c r="LDQ79" s="278" t="inlineStr"/>
      <c r="LDR79" s="278" t="inlineStr"/>
      <c r="LDS79" s="278" t="inlineStr"/>
      <c r="LDT79" s="278" t="inlineStr"/>
      <c r="LDU79" s="278" t="inlineStr"/>
      <c r="LDV79" s="278" t="inlineStr"/>
      <c r="LDW79" s="278" t="inlineStr"/>
      <c r="LDX79" s="278" t="inlineStr"/>
      <c r="LDY79" s="278" t="inlineStr"/>
      <c r="LDZ79" s="278" t="inlineStr"/>
      <c r="LEA79" s="278" t="inlineStr"/>
      <c r="LEB79" s="278" t="inlineStr"/>
      <c r="LEC79" s="278" t="inlineStr"/>
      <c r="LED79" s="278" t="inlineStr"/>
      <c r="LEE79" s="278" t="inlineStr"/>
      <c r="LEF79" s="278" t="inlineStr"/>
      <c r="LEG79" s="278" t="inlineStr"/>
      <c r="LEH79" s="278" t="inlineStr"/>
      <c r="LEI79" s="278" t="inlineStr"/>
      <c r="LEJ79" s="278" t="inlineStr"/>
      <c r="LEK79" s="278" t="inlineStr"/>
      <c r="LEL79" s="278" t="inlineStr"/>
      <c r="LEM79" s="278" t="inlineStr"/>
      <c r="LEN79" s="278" t="inlineStr"/>
      <c r="LEO79" s="278" t="inlineStr"/>
      <c r="LEP79" s="278" t="inlineStr"/>
      <c r="LEQ79" s="278" t="inlineStr"/>
      <c r="LER79" s="278" t="inlineStr"/>
      <c r="LES79" s="278" t="inlineStr"/>
      <c r="LET79" s="278" t="inlineStr"/>
      <c r="LEU79" s="278" t="inlineStr"/>
      <c r="LEV79" s="278" t="inlineStr"/>
      <c r="LEW79" s="278" t="inlineStr"/>
      <c r="LEX79" s="278" t="inlineStr"/>
      <c r="LEY79" s="278" t="inlineStr"/>
      <c r="LEZ79" s="278" t="inlineStr"/>
      <c r="LFA79" s="278" t="inlineStr"/>
      <c r="LFB79" s="278" t="inlineStr"/>
      <c r="LFC79" s="278" t="inlineStr"/>
      <c r="LFD79" s="278" t="inlineStr"/>
      <c r="LFE79" s="278" t="inlineStr"/>
      <c r="LFF79" s="278" t="inlineStr"/>
      <c r="LFG79" s="278" t="inlineStr"/>
      <c r="LFH79" s="278" t="inlineStr"/>
      <c r="LFI79" s="278" t="inlineStr"/>
      <c r="LFJ79" s="278" t="inlineStr"/>
      <c r="LFK79" s="278" t="inlineStr"/>
      <c r="LFL79" s="278" t="inlineStr"/>
      <c r="LFM79" s="278" t="inlineStr"/>
      <c r="LFN79" s="278" t="inlineStr"/>
      <c r="LFO79" s="278" t="inlineStr"/>
      <c r="LFP79" s="278" t="inlineStr"/>
      <c r="LFQ79" s="278" t="inlineStr"/>
      <c r="LFR79" s="278" t="inlineStr"/>
      <c r="LFS79" s="278" t="inlineStr"/>
      <c r="LFT79" s="278" t="inlineStr"/>
      <c r="LFU79" s="278" t="inlineStr"/>
      <c r="LFV79" s="278" t="inlineStr"/>
      <c r="LFW79" s="278" t="inlineStr"/>
      <c r="LFX79" s="278" t="inlineStr"/>
      <c r="LFY79" s="278" t="inlineStr"/>
      <c r="LFZ79" s="278" t="inlineStr"/>
      <c r="LGA79" s="278" t="inlineStr"/>
      <c r="LGB79" s="278" t="inlineStr"/>
      <c r="LGC79" s="278" t="inlineStr"/>
      <c r="LGD79" s="278" t="inlineStr"/>
      <c r="LGE79" s="278" t="inlineStr"/>
      <c r="LGF79" s="278" t="inlineStr"/>
      <c r="LGG79" s="278" t="inlineStr"/>
      <c r="LGH79" s="278" t="inlineStr"/>
      <c r="LGI79" s="278" t="inlineStr"/>
      <c r="LGJ79" s="278" t="inlineStr"/>
      <c r="LGK79" s="278" t="inlineStr"/>
      <c r="LGL79" s="278" t="inlineStr"/>
      <c r="LGM79" s="278" t="inlineStr"/>
      <c r="LGN79" s="278" t="inlineStr"/>
      <c r="LGO79" s="278" t="inlineStr"/>
      <c r="LGP79" s="278" t="inlineStr"/>
      <c r="LGQ79" s="278" t="inlineStr"/>
      <c r="LGR79" s="278" t="inlineStr"/>
      <c r="LGS79" s="278" t="inlineStr"/>
      <c r="LGT79" s="278" t="inlineStr"/>
      <c r="LGU79" s="278" t="inlineStr"/>
      <c r="LGV79" s="278" t="inlineStr"/>
      <c r="LGW79" s="278" t="inlineStr"/>
      <c r="LGX79" s="278" t="inlineStr"/>
      <c r="LGY79" s="278" t="inlineStr"/>
      <c r="LGZ79" s="278" t="inlineStr"/>
      <c r="LHA79" s="278" t="inlineStr"/>
      <c r="LHB79" s="278" t="inlineStr"/>
      <c r="LHC79" s="278" t="inlineStr"/>
      <c r="LHD79" s="278" t="inlineStr"/>
      <c r="LHE79" s="278" t="inlineStr"/>
      <c r="LHF79" s="278" t="inlineStr"/>
      <c r="LHG79" s="278" t="inlineStr"/>
      <c r="LHH79" s="278" t="inlineStr"/>
      <c r="LHI79" s="278" t="inlineStr"/>
      <c r="LHJ79" s="278" t="inlineStr"/>
      <c r="LHK79" s="278" t="inlineStr"/>
      <c r="LHL79" s="278" t="inlineStr"/>
      <c r="LHM79" s="278" t="inlineStr"/>
      <c r="LHN79" s="278" t="inlineStr"/>
      <c r="LHO79" s="278" t="inlineStr"/>
      <c r="LHP79" s="278" t="inlineStr"/>
      <c r="LHQ79" s="278" t="inlineStr"/>
      <c r="LHR79" s="278" t="inlineStr"/>
      <c r="LHS79" s="278" t="inlineStr"/>
      <c r="LHT79" s="278" t="inlineStr"/>
      <c r="LHU79" s="278" t="inlineStr"/>
      <c r="LHV79" s="278" t="inlineStr"/>
      <c r="LHW79" s="278" t="inlineStr"/>
      <c r="LHX79" s="278" t="inlineStr"/>
      <c r="LHY79" s="278" t="inlineStr"/>
      <c r="LHZ79" s="278" t="inlineStr"/>
      <c r="LIA79" s="278" t="inlineStr"/>
      <c r="LIB79" s="278" t="inlineStr"/>
      <c r="LIC79" s="278" t="inlineStr"/>
      <c r="LID79" s="278" t="inlineStr"/>
      <c r="LIE79" s="278" t="inlineStr"/>
      <c r="LIF79" s="278" t="inlineStr"/>
      <c r="LIG79" s="278" t="inlineStr"/>
      <c r="LIH79" s="278" t="inlineStr"/>
      <c r="LII79" s="278" t="inlineStr"/>
      <c r="LIJ79" s="278" t="inlineStr"/>
      <c r="LIK79" s="278" t="inlineStr"/>
      <c r="LIL79" s="278" t="inlineStr"/>
      <c r="LIM79" s="278" t="inlineStr"/>
      <c r="LIN79" s="278" t="inlineStr"/>
      <c r="LIO79" s="278" t="inlineStr"/>
      <c r="LIP79" s="278" t="inlineStr"/>
      <c r="LIQ79" s="278" t="inlineStr"/>
      <c r="LIR79" s="278" t="inlineStr"/>
      <c r="LIS79" s="278" t="inlineStr"/>
      <c r="LIT79" s="278" t="inlineStr"/>
      <c r="LIU79" s="278" t="inlineStr"/>
      <c r="LIV79" s="278" t="inlineStr"/>
      <c r="LIW79" s="278" t="inlineStr"/>
      <c r="LIX79" s="278" t="inlineStr"/>
      <c r="LIY79" s="278" t="inlineStr"/>
      <c r="LIZ79" s="278" t="inlineStr"/>
      <c r="LJA79" s="278" t="inlineStr"/>
      <c r="LJB79" s="278" t="inlineStr"/>
      <c r="LJC79" s="278" t="inlineStr"/>
      <c r="LJD79" s="278" t="inlineStr"/>
      <c r="LJE79" s="278" t="inlineStr"/>
      <c r="LJF79" s="278" t="inlineStr"/>
      <c r="LJG79" s="278" t="inlineStr"/>
      <c r="LJH79" s="278" t="inlineStr"/>
      <c r="LJI79" s="278" t="inlineStr"/>
      <c r="LJJ79" s="278" t="inlineStr"/>
      <c r="LJK79" s="278" t="inlineStr"/>
      <c r="LJL79" s="278" t="inlineStr"/>
      <c r="LJM79" s="278" t="inlineStr"/>
      <c r="LJN79" s="278" t="inlineStr"/>
      <c r="LJO79" s="278" t="inlineStr"/>
      <c r="LJP79" s="278" t="inlineStr"/>
      <c r="LJQ79" s="278" t="inlineStr"/>
      <c r="LJR79" s="278" t="inlineStr"/>
      <c r="LJS79" s="278" t="inlineStr"/>
      <c r="LJT79" s="278" t="inlineStr"/>
      <c r="LJU79" s="278" t="inlineStr"/>
      <c r="LJV79" s="278" t="inlineStr"/>
      <c r="LJW79" s="278" t="inlineStr"/>
      <c r="LJX79" s="278" t="inlineStr"/>
      <c r="LJY79" s="278" t="inlineStr"/>
      <c r="LJZ79" s="278" t="inlineStr"/>
      <c r="LKA79" s="278" t="inlineStr"/>
      <c r="LKB79" s="278" t="inlineStr"/>
      <c r="LKC79" s="278" t="inlineStr"/>
      <c r="LKD79" s="278" t="inlineStr"/>
      <c r="LKE79" s="278" t="inlineStr"/>
      <c r="LKF79" s="278" t="inlineStr"/>
      <c r="LKG79" s="278" t="inlineStr"/>
      <c r="LKH79" s="278" t="inlineStr"/>
      <c r="LKI79" s="278" t="inlineStr"/>
      <c r="LKJ79" s="278" t="inlineStr"/>
      <c r="LKK79" s="278" t="inlineStr"/>
      <c r="LKL79" s="278" t="inlineStr"/>
      <c r="LKM79" s="278" t="inlineStr"/>
      <c r="LKN79" s="278" t="inlineStr"/>
      <c r="LKO79" s="278" t="inlineStr"/>
      <c r="LKP79" s="278" t="inlineStr"/>
      <c r="LKQ79" s="278" t="inlineStr"/>
      <c r="LKR79" s="278" t="inlineStr"/>
      <c r="LKS79" s="278" t="inlineStr"/>
      <c r="LKT79" s="278" t="inlineStr"/>
      <c r="LKU79" s="278" t="inlineStr"/>
      <c r="LKV79" s="278" t="inlineStr"/>
      <c r="LKW79" s="278" t="inlineStr"/>
      <c r="LKX79" s="278" t="inlineStr"/>
      <c r="LKY79" s="278" t="inlineStr"/>
      <c r="LKZ79" s="278" t="inlineStr"/>
      <c r="LLA79" s="278" t="inlineStr"/>
      <c r="LLB79" s="278" t="inlineStr"/>
      <c r="LLC79" s="278" t="inlineStr"/>
      <c r="LLD79" s="278" t="inlineStr"/>
      <c r="LLE79" s="278" t="inlineStr"/>
      <c r="LLF79" s="278" t="inlineStr"/>
      <c r="LLG79" s="278" t="inlineStr"/>
      <c r="LLH79" s="278" t="inlineStr"/>
      <c r="LLI79" s="278" t="inlineStr"/>
      <c r="LLJ79" s="278" t="inlineStr"/>
      <c r="LLK79" s="278" t="inlineStr"/>
      <c r="LLL79" s="278" t="inlineStr"/>
      <c r="LLM79" s="278" t="inlineStr"/>
      <c r="LLN79" s="278" t="inlineStr"/>
      <c r="LLO79" s="278" t="inlineStr"/>
      <c r="LLP79" s="278" t="inlineStr"/>
      <c r="LLQ79" s="278" t="inlineStr"/>
      <c r="LLR79" s="278" t="inlineStr"/>
      <c r="LLS79" s="278" t="inlineStr"/>
      <c r="LLT79" s="278" t="inlineStr"/>
      <c r="LLU79" s="278" t="inlineStr"/>
      <c r="LLV79" s="278" t="inlineStr"/>
      <c r="LLW79" s="278" t="inlineStr"/>
      <c r="LLX79" s="278" t="inlineStr"/>
      <c r="LLY79" s="278" t="inlineStr"/>
      <c r="LLZ79" s="278" t="inlineStr"/>
      <c r="LMA79" s="278" t="inlineStr"/>
      <c r="LMB79" s="278" t="inlineStr"/>
      <c r="LMC79" s="278" t="inlineStr"/>
      <c r="LMD79" s="278" t="inlineStr"/>
      <c r="LME79" s="278" t="inlineStr"/>
      <c r="LMF79" s="278" t="inlineStr"/>
      <c r="LMG79" s="278" t="inlineStr"/>
      <c r="LMH79" s="278" t="inlineStr"/>
      <c r="LMI79" s="278" t="inlineStr"/>
      <c r="LMJ79" s="278" t="inlineStr"/>
      <c r="LMK79" s="278" t="inlineStr"/>
      <c r="LML79" s="278" t="inlineStr"/>
      <c r="LMM79" s="278" t="inlineStr"/>
      <c r="LMN79" s="278" t="inlineStr"/>
      <c r="LMO79" s="278" t="inlineStr"/>
      <c r="LMP79" s="278" t="inlineStr"/>
      <c r="LMQ79" s="278" t="inlineStr"/>
      <c r="LMR79" s="278" t="inlineStr"/>
      <c r="LMS79" s="278" t="inlineStr"/>
      <c r="LMT79" s="278" t="inlineStr"/>
      <c r="LMU79" s="278" t="inlineStr"/>
      <c r="LMV79" s="278" t="inlineStr"/>
      <c r="LMW79" s="278" t="inlineStr"/>
      <c r="LMX79" s="278" t="inlineStr"/>
      <c r="LMY79" s="278" t="inlineStr"/>
      <c r="LMZ79" s="278" t="inlineStr"/>
      <c r="LNA79" s="278" t="inlineStr"/>
      <c r="LNB79" s="278" t="inlineStr"/>
      <c r="LNC79" s="278" t="inlineStr"/>
      <c r="LND79" s="278" t="inlineStr"/>
      <c r="LNE79" s="278" t="inlineStr"/>
      <c r="LNF79" s="278" t="inlineStr"/>
      <c r="LNG79" s="278" t="inlineStr"/>
      <c r="LNH79" s="278" t="inlineStr"/>
      <c r="LNI79" s="278" t="inlineStr"/>
      <c r="LNJ79" s="278" t="inlineStr"/>
      <c r="LNK79" s="278" t="inlineStr"/>
      <c r="LNL79" s="278" t="inlineStr"/>
      <c r="LNM79" s="278" t="inlineStr"/>
      <c r="LNN79" s="278" t="inlineStr"/>
      <c r="LNO79" s="278" t="inlineStr"/>
      <c r="LNP79" s="278" t="inlineStr"/>
      <c r="LNQ79" s="278" t="inlineStr"/>
      <c r="LNR79" s="278" t="inlineStr"/>
      <c r="LNS79" s="278" t="inlineStr"/>
      <c r="LNT79" s="278" t="inlineStr"/>
      <c r="LNU79" s="278" t="inlineStr"/>
      <c r="LNV79" s="278" t="inlineStr"/>
      <c r="LNW79" s="278" t="inlineStr"/>
      <c r="LNX79" s="278" t="inlineStr"/>
      <c r="LNY79" s="278" t="inlineStr"/>
      <c r="LNZ79" s="278" t="inlineStr"/>
      <c r="LOA79" s="278" t="inlineStr"/>
      <c r="LOB79" s="278" t="inlineStr"/>
      <c r="LOC79" s="278" t="inlineStr"/>
      <c r="LOD79" s="278" t="inlineStr"/>
      <c r="LOE79" s="278" t="inlineStr"/>
      <c r="LOF79" s="278" t="inlineStr"/>
      <c r="LOG79" s="278" t="inlineStr"/>
      <c r="LOH79" s="278" t="inlineStr"/>
      <c r="LOI79" s="278" t="inlineStr"/>
      <c r="LOJ79" s="278" t="inlineStr"/>
      <c r="LOK79" s="278" t="inlineStr"/>
      <c r="LOL79" s="278" t="inlineStr"/>
      <c r="LOM79" s="278" t="inlineStr"/>
      <c r="LON79" s="278" t="inlineStr"/>
      <c r="LOO79" s="278" t="inlineStr"/>
      <c r="LOP79" s="278" t="inlineStr"/>
      <c r="LOQ79" s="278" t="inlineStr"/>
      <c r="LOR79" s="278" t="inlineStr"/>
      <c r="LOS79" s="278" t="inlineStr"/>
      <c r="LOT79" s="278" t="inlineStr"/>
      <c r="LOU79" s="278" t="inlineStr"/>
      <c r="LOV79" s="278" t="inlineStr"/>
      <c r="LOW79" s="278" t="inlineStr"/>
      <c r="LOX79" s="278" t="inlineStr"/>
      <c r="LOY79" s="278" t="inlineStr"/>
      <c r="LOZ79" s="278" t="inlineStr"/>
      <c r="LPA79" s="278" t="inlineStr"/>
      <c r="LPB79" s="278" t="inlineStr"/>
      <c r="LPC79" s="278" t="inlineStr"/>
      <c r="LPD79" s="278" t="inlineStr"/>
      <c r="LPE79" s="278" t="inlineStr"/>
      <c r="LPF79" s="278" t="inlineStr"/>
      <c r="LPG79" s="278" t="inlineStr"/>
      <c r="LPH79" s="278" t="inlineStr"/>
      <c r="LPI79" s="278" t="inlineStr"/>
      <c r="LPJ79" s="278" t="inlineStr"/>
      <c r="LPK79" s="278" t="inlineStr"/>
      <c r="LPL79" s="278" t="inlineStr"/>
      <c r="LPM79" s="278" t="inlineStr"/>
      <c r="LPN79" s="278" t="inlineStr"/>
      <c r="LPO79" s="278" t="inlineStr"/>
      <c r="LPP79" s="278" t="inlineStr"/>
      <c r="LPQ79" s="278" t="inlineStr"/>
      <c r="LPR79" s="278" t="inlineStr"/>
      <c r="LPS79" s="278" t="inlineStr"/>
      <c r="LPT79" s="278" t="inlineStr"/>
      <c r="LPU79" s="278" t="inlineStr"/>
      <c r="LPV79" s="278" t="inlineStr"/>
      <c r="LPW79" s="278" t="inlineStr"/>
      <c r="LPX79" s="278" t="inlineStr"/>
      <c r="LPY79" s="278" t="inlineStr"/>
      <c r="LPZ79" s="278" t="inlineStr"/>
      <c r="LQA79" s="278" t="inlineStr"/>
      <c r="LQB79" s="278" t="inlineStr"/>
      <c r="LQC79" s="278" t="inlineStr"/>
      <c r="LQD79" s="278" t="inlineStr"/>
      <c r="LQE79" s="278" t="inlineStr"/>
      <c r="LQF79" s="278" t="inlineStr"/>
      <c r="LQG79" s="278" t="inlineStr"/>
      <c r="LQH79" s="278" t="inlineStr"/>
      <c r="LQI79" s="278" t="inlineStr"/>
      <c r="LQJ79" s="278" t="inlineStr"/>
      <c r="LQK79" s="278" t="inlineStr"/>
      <c r="LQL79" s="278" t="inlineStr"/>
      <c r="LQM79" s="278" t="inlineStr"/>
      <c r="LQN79" s="278" t="inlineStr"/>
      <c r="LQO79" s="278" t="inlineStr"/>
      <c r="LQP79" s="278" t="inlineStr"/>
      <c r="LQQ79" s="278" t="inlineStr"/>
      <c r="LQR79" s="278" t="inlineStr"/>
      <c r="LQS79" s="278" t="inlineStr"/>
      <c r="LQT79" s="278" t="inlineStr"/>
      <c r="LQU79" s="278" t="inlineStr"/>
      <c r="LQV79" s="278" t="inlineStr"/>
      <c r="LQW79" s="278" t="inlineStr"/>
      <c r="LQX79" s="278" t="inlineStr"/>
      <c r="LQY79" s="278" t="inlineStr"/>
      <c r="LQZ79" s="278" t="inlineStr"/>
      <c r="LRA79" s="278" t="inlineStr"/>
      <c r="LRB79" s="278" t="inlineStr"/>
      <c r="LRC79" s="278" t="inlineStr"/>
      <c r="LRD79" s="278" t="inlineStr"/>
      <c r="LRE79" s="278" t="inlineStr"/>
      <c r="LRF79" s="278" t="inlineStr"/>
      <c r="LRG79" s="278" t="inlineStr"/>
      <c r="LRH79" s="278" t="inlineStr"/>
      <c r="LRI79" s="278" t="inlineStr"/>
      <c r="LRJ79" s="278" t="inlineStr"/>
      <c r="LRK79" s="278" t="inlineStr"/>
      <c r="LRL79" s="278" t="inlineStr"/>
      <c r="LRM79" s="278" t="inlineStr"/>
      <c r="LRN79" s="278" t="inlineStr"/>
      <c r="LRO79" s="278" t="inlineStr"/>
      <c r="LRP79" s="278" t="inlineStr"/>
      <c r="LRQ79" s="278" t="inlineStr"/>
      <c r="LRR79" s="278" t="inlineStr"/>
      <c r="LRS79" s="278" t="inlineStr"/>
      <c r="LRT79" s="278" t="inlineStr"/>
      <c r="LRU79" s="278" t="inlineStr"/>
      <c r="LRV79" s="278" t="inlineStr"/>
      <c r="LRW79" s="278" t="inlineStr"/>
      <c r="LRX79" s="278" t="inlineStr"/>
      <c r="LRY79" s="278" t="inlineStr"/>
      <c r="LRZ79" s="278" t="inlineStr"/>
      <c r="LSA79" s="278" t="inlineStr"/>
      <c r="LSB79" s="278" t="inlineStr"/>
      <c r="LSC79" s="278" t="inlineStr"/>
      <c r="LSD79" s="278" t="inlineStr"/>
      <c r="LSE79" s="278" t="inlineStr"/>
      <c r="LSF79" s="278" t="inlineStr"/>
      <c r="LSG79" s="278" t="inlineStr"/>
      <c r="LSH79" s="278" t="inlineStr"/>
      <c r="LSI79" s="278" t="inlineStr"/>
      <c r="LSJ79" s="278" t="inlineStr"/>
      <c r="LSK79" s="278" t="inlineStr"/>
      <c r="LSL79" s="278" t="inlineStr"/>
      <c r="LSM79" s="278" t="inlineStr"/>
      <c r="LSN79" s="278" t="inlineStr"/>
      <c r="LSO79" s="278" t="inlineStr"/>
      <c r="LSP79" s="278" t="inlineStr"/>
      <c r="LSQ79" s="278" t="inlineStr"/>
      <c r="LSR79" s="278" t="inlineStr"/>
      <c r="LSS79" s="278" t="inlineStr"/>
      <c r="LST79" s="278" t="inlineStr"/>
      <c r="LSU79" s="278" t="inlineStr"/>
      <c r="LSV79" s="278" t="inlineStr"/>
      <c r="LSW79" s="278" t="inlineStr"/>
      <c r="LSX79" s="278" t="inlineStr"/>
      <c r="LSY79" s="278" t="inlineStr"/>
      <c r="LSZ79" s="278" t="inlineStr"/>
      <c r="LTA79" s="278" t="inlineStr"/>
      <c r="LTB79" s="278" t="inlineStr"/>
      <c r="LTC79" s="278" t="inlineStr"/>
      <c r="LTD79" s="278" t="inlineStr"/>
      <c r="LTE79" s="278" t="inlineStr"/>
      <c r="LTF79" s="278" t="inlineStr"/>
      <c r="LTG79" s="278" t="inlineStr"/>
      <c r="LTH79" s="278" t="inlineStr"/>
      <c r="LTI79" s="278" t="inlineStr"/>
      <c r="LTJ79" s="278" t="inlineStr"/>
      <c r="LTK79" s="278" t="inlineStr"/>
      <c r="LTL79" s="278" t="inlineStr"/>
      <c r="LTM79" s="278" t="inlineStr"/>
      <c r="LTN79" s="278" t="inlineStr"/>
      <c r="LTO79" s="278" t="inlineStr"/>
      <c r="LTP79" s="278" t="inlineStr"/>
      <c r="LTQ79" s="278" t="inlineStr"/>
      <c r="LTR79" s="278" t="inlineStr"/>
      <c r="LTS79" s="278" t="inlineStr"/>
      <c r="LTT79" s="278" t="inlineStr"/>
      <c r="LTU79" s="278" t="inlineStr"/>
      <c r="LTV79" s="278" t="inlineStr"/>
      <c r="LTW79" s="278" t="inlineStr"/>
      <c r="LTX79" s="278" t="inlineStr"/>
      <c r="LTY79" s="278" t="inlineStr"/>
      <c r="LTZ79" s="278" t="inlineStr"/>
      <c r="LUA79" s="278" t="inlineStr"/>
      <c r="LUB79" s="278" t="inlineStr"/>
      <c r="LUC79" s="278" t="inlineStr"/>
      <c r="LUD79" s="278" t="inlineStr"/>
      <c r="LUE79" s="278" t="inlineStr"/>
      <c r="LUF79" s="278" t="inlineStr"/>
      <c r="LUG79" s="278" t="inlineStr"/>
      <c r="LUH79" s="278" t="inlineStr"/>
      <c r="LUI79" s="278" t="inlineStr"/>
      <c r="LUJ79" s="278" t="inlineStr"/>
      <c r="LUK79" s="278" t="inlineStr"/>
      <c r="LUL79" s="278" t="inlineStr"/>
      <c r="LUM79" s="278" t="inlineStr"/>
      <c r="LUN79" s="278" t="inlineStr"/>
      <c r="LUO79" s="278" t="inlineStr"/>
      <c r="LUP79" s="278" t="inlineStr"/>
      <c r="LUQ79" s="278" t="inlineStr"/>
      <c r="LUR79" s="278" t="inlineStr"/>
      <c r="LUS79" s="278" t="inlineStr"/>
      <c r="LUT79" s="278" t="inlineStr"/>
      <c r="LUU79" s="278" t="inlineStr"/>
      <c r="LUV79" s="278" t="inlineStr"/>
      <c r="LUW79" s="278" t="inlineStr"/>
      <c r="LUX79" s="278" t="inlineStr"/>
      <c r="LUY79" s="278" t="inlineStr"/>
      <c r="LUZ79" s="278" t="inlineStr"/>
      <c r="LVA79" s="278" t="inlineStr"/>
      <c r="LVB79" s="278" t="inlineStr"/>
      <c r="LVC79" s="278" t="inlineStr"/>
      <c r="LVD79" s="278" t="inlineStr"/>
      <c r="LVE79" s="278" t="inlineStr"/>
      <c r="LVF79" s="278" t="inlineStr"/>
      <c r="LVG79" s="278" t="inlineStr"/>
      <c r="LVH79" s="278" t="inlineStr"/>
      <c r="LVI79" s="278" t="inlineStr"/>
      <c r="LVJ79" s="278" t="inlineStr"/>
      <c r="LVK79" s="278" t="inlineStr"/>
      <c r="LVL79" s="278" t="inlineStr"/>
      <c r="LVM79" s="278" t="inlineStr"/>
      <c r="LVN79" s="278" t="inlineStr"/>
      <c r="LVO79" s="278" t="inlineStr"/>
      <c r="LVP79" s="278" t="inlineStr"/>
      <c r="LVQ79" s="278" t="inlineStr"/>
      <c r="LVR79" s="278" t="inlineStr"/>
      <c r="LVS79" s="278" t="inlineStr"/>
      <c r="LVT79" s="278" t="inlineStr"/>
      <c r="LVU79" s="278" t="inlineStr"/>
      <c r="LVV79" s="278" t="inlineStr"/>
      <c r="LVW79" s="278" t="inlineStr"/>
      <c r="LVX79" s="278" t="inlineStr"/>
      <c r="LVY79" s="278" t="inlineStr"/>
      <c r="LVZ79" s="278" t="inlineStr"/>
      <c r="LWA79" s="278" t="inlineStr"/>
      <c r="LWB79" s="278" t="inlineStr"/>
      <c r="LWC79" s="278" t="inlineStr"/>
      <c r="LWD79" s="278" t="inlineStr"/>
      <c r="LWE79" s="278" t="inlineStr"/>
      <c r="LWF79" s="278" t="inlineStr"/>
      <c r="LWG79" s="278" t="inlineStr"/>
      <c r="LWH79" s="278" t="inlineStr"/>
      <c r="LWI79" s="278" t="inlineStr"/>
      <c r="LWJ79" s="278" t="inlineStr"/>
      <c r="LWK79" s="278" t="inlineStr"/>
      <c r="LWL79" s="278" t="inlineStr"/>
      <c r="LWM79" s="278" t="inlineStr"/>
      <c r="LWN79" s="278" t="inlineStr"/>
      <c r="LWO79" s="278" t="inlineStr"/>
      <c r="LWP79" s="278" t="inlineStr"/>
      <c r="LWQ79" s="278" t="inlineStr"/>
      <c r="LWR79" s="278" t="inlineStr"/>
      <c r="LWS79" s="278" t="inlineStr"/>
      <c r="LWT79" s="278" t="inlineStr"/>
      <c r="LWU79" s="278" t="inlineStr"/>
      <c r="LWV79" s="278" t="inlineStr"/>
      <c r="LWW79" s="278" t="inlineStr"/>
      <c r="LWX79" s="278" t="inlineStr"/>
      <c r="LWY79" s="278" t="inlineStr"/>
      <c r="LWZ79" s="278" t="inlineStr"/>
      <c r="LXA79" s="278" t="inlineStr"/>
      <c r="LXB79" s="278" t="inlineStr"/>
      <c r="LXC79" s="278" t="inlineStr"/>
      <c r="LXD79" s="278" t="inlineStr"/>
      <c r="LXE79" s="278" t="inlineStr"/>
      <c r="LXF79" s="278" t="inlineStr"/>
      <c r="LXG79" s="278" t="inlineStr"/>
      <c r="LXH79" s="278" t="inlineStr"/>
      <c r="LXI79" s="278" t="inlineStr"/>
      <c r="LXJ79" s="278" t="inlineStr"/>
      <c r="LXK79" s="278" t="inlineStr"/>
      <c r="LXL79" s="278" t="inlineStr"/>
      <c r="LXM79" s="278" t="inlineStr"/>
      <c r="LXN79" s="278" t="inlineStr"/>
      <c r="LXO79" s="278" t="inlineStr"/>
      <c r="LXP79" s="278" t="inlineStr"/>
      <c r="LXQ79" s="278" t="inlineStr"/>
      <c r="LXR79" s="278" t="inlineStr"/>
      <c r="LXS79" s="278" t="inlineStr"/>
      <c r="LXT79" s="278" t="inlineStr"/>
      <c r="LXU79" s="278" t="inlineStr"/>
      <c r="LXV79" s="278" t="inlineStr"/>
      <c r="LXW79" s="278" t="inlineStr"/>
      <c r="LXX79" s="278" t="inlineStr"/>
      <c r="LXY79" s="278" t="inlineStr"/>
      <c r="LXZ79" s="278" t="inlineStr"/>
      <c r="LYA79" s="278" t="inlineStr"/>
      <c r="LYB79" s="278" t="inlineStr"/>
      <c r="LYC79" s="278" t="inlineStr"/>
      <c r="LYD79" s="278" t="inlineStr"/>
      <c r="LYE79" s="278" t="inlineStr"/>
      <c r="LYF79" s="278" t="inlineStr"/>
      <c r="LYG79" s="278" t="inlineStr"/>
      <c r="LYH79" s="278" t="inlineStr"/>
      <c r="LYI79" s="278" t="inlineStr"/>
      <c r="LYJ79" s="278" t="inlineStr"/>
      <c r="LYK79" s="278" t="inlineStr"/>
      <c r="LYL79" s="278" t="inlineStr"/>
      <c r="LYM79" s="278" t="inlineStr"/>
      <c r="LYN79" s="278" t="inlineStr"/>
      <c r="LYO79" s="278" t="inlineStr"/>
      <c r="LYP79" s="278" t="inlineStr"/>
      <c r="LYQ79" s="278" t="inlineStr"/>
      <c r="LYR79" s="278" t="inlineStr"/>
      <c r="LYS79" s="278" t="inlineStr"/>
      <c r="LYT79" s="278" t="inlineStr"/>
      <c r="LYU79" s="278" t="inlineStr"/>
      <c r="LYV79" s="278" t="inlineStr"/>
      <c r="LYW79" s="278" t="inlineStr"/>
      <c r="LYX79" s="278" t="inlineStr"/>
      <c r="LYY79" s="278" t="inlineStr"/>
      <c r="LYZ79" s="278" t="inlineStr"/>
      <c r="LZA79" s="278" t="inlineStr"/>
      <c r="LZB79" s="278" t="inlineStr"/>
      <c r="LZC79" s="278" t="inlineStr"/>
      <c r="LZD79" s="278" t="inlineStr"/>
      <c r="LZE79" s="278" t="inlineStr"/>
      <c r="LZF79" s="278" t="inlineStr"/>
      <c r="LZG79" s="278" t="inlineStr"/>
      <c r="LZH79" s="278" t="inlineStr"/>
      <c r="LZI79" s="278" t="inlineStr"/>
      <c r="LZJ79" s="278" t="inlineStr"/>
      <c r="LZK79" s="278" t="inlineStr"/>
      <c r="LZL79" s="278" t="inlineStr"/>
      <c r="LZM79" s="278" t="inlineStr"/>
      <c r="LZN79" s="278" t="inlineStr"/>
      <c r="LZO79" s="278" t="inlineStr"/>
      <c r="LZP79" s="278" t="inlineStr"/>
      <c r="LZQ79" s="278" t="inlineStr"/>
      <c r="LZR79" s="278" t="inlineStr"/>
      <c r="LZS79" s="278" t="inlineStr"/>
      <c r="LZT79" s="278" t="inlineStr"/>
      <c r="LZU79" s="278" t="inlineStr"/>
      <c r="LZV79" s="278" t="inlineStr"/>
      <c r="LZW79" s="278" t="inlineStr"/>
      <c r="LZX79" s="278" t="inlineStr"/>
      <c r="LZY79" s="278" t="inlineStr"/>
      <c r="LZZ79" s="278" t="inlineStr"/>
      <c r="MAA79" s="278" t="inlineStr"/>
      <c r="MAB79" s="278" t="inlineStr"/>
      <c r="MAC79" s="278" t="inlineStr"/>
      <c r="MAD79" s="278" t="inlineStr"/>
      <c r="MAE79" s="278" t="inlineStr"/>
      <c r="MAF79" s="278" t="inlineStr"/>
      <c r="MAG79" s="278" t="inlineStr"/>
      <c r="MAH79" s="278" t="inlineStr"/>
      <c r="MAI79" s="278" t="inlineStr"/>
      <c r="MAJ79" s="278" t="inlineStr"/>
      <c r="MAK79" s="278" t="inlineStr"/>
      <c r="MAL79" s="278" t="inlineStr"/>
      <c r="MAM79" s="278" t="inlineStr"/>
      <c r="MAN79" s="278" t="inlineStr"/>
      <c r="MAO79" s="278" t="inlineStr"/>
      <c r="MAP79" s="278" t="inlineStr"/>
      <c r="MAQ79" s="278" t="inlineStr"/>
      <c r="MAR79" s="278" t="inlineStr"/>
      <c r="MAS79" s="278" t="inlineStr"/>
      <c r="MAT79" s="278" t="inlineStr"/>
      <c r="MAU79" s="278" t="inlineStr"/>
      <c r="MAV79" s="278" t="inlineStr"/>
      <c r="MAW79" s="278" t="inlineStr"/>
      <c r="MAX79" s="278" t="inlineStr"/>
      <c r="MAY79" s="278" t="inlineStr"/>
      <c r="MAZ79" s="278" t="inlineStr"/>
      <c r="MBA79" s="278" t="inlineStr"/>
      <c r="MBB79" s="278" t="inlineStr"/>
      <c r="MBC79" s="278" t="inlineStr"/>
      <c r="MBD79" s="278" t="inlineStr"/>
      <c r="MBE79" s="278" t="inlineStr"/>
      <c r="MBF79" s="278" t="inlineStr"/>
      <c r="MBG79" s="278" t="inlineStr"/>
      <c r="MBH79" s="278" t="inlineStr"/>
      <c r="MBI79" s="278" t="inlineStr"/>
      <c r="MBJ79" s="278" t="inlineStr"/>
      <c r="MBK79" s="278" t="inlineStr"/>
      <c r="MBL79" s="278" t="inlineStr"/>
      <c r="MBM79" s="278" t="inlineStr"/>
      <c r="MBN79" s="278" t="inlineStr"/>
      <c r="MBO79" s="278" t="inlineStr"/>
      <c r="MBP79" s="278" t="inlineStr"/>
      <c r="MBQ79" s="278" t="inlineStr"/>
      <c r="MBR79" s="278" t="inlineStr"/>
      <c r="MBS79" s="278" t="inlineStr"/>
      <c r="MBT79" s="278" t="inlineStr"/>
      <c r="MBU79" s="278" t="inlineStr"/>
      <c r="MBV79" s="278" t="inlineStr"/>
      <c r="MBW79" s="278" t="inlineStr"/>
      <c r="MBX79" s="278" t="inlineStr"/>
      <c r="MBY79" s="278" t="inlineStr"/>
      <c r="MBZ79" s="278" t="inlineStr"/>
      <c r="MCA79" s="278" t="inlineStr"/>
      <c r="MCB79" s="278" t="inlineStr"/>
      <c r="MCC79" s="278" t="inlineStr"/>
      <c r="MCD79" s="278" t="inlineStr"/>
      <c r="MCE79" s="278" t="inlineStr"/>
      <c r="MCF79" s="278" t="inlineStr"/>
      <c r="MCG79" s="278" t="inlineStr"/>
      <c r="MCH79" s="278" t="inlineStr"/>
      <c r="MCI79" s="278" t="inlineStr"/>
      <c r="MCJ79" s="278" t="inlineStr"/>
      <c r="MCK79" s="278" t="inlineStr"/>
      <c r="MCL79" s="278" t="inlineStr"/>
      <c r="MCM79" s="278" t="inlineStr"/>
      <c r="MCN79" s="278" t="inlineStr"/>
      <c r="MCO79" s="278" t="inlineStr"/>
      <c r="MCP79" s="278" t="inlineStr"/>
      <c r="MCQ79" s="278" t="inlineStr"/>
      <c r="MCR79" s="278" t="inlineStr"/>
      <c r="MCS79" s="278" t="inlineStr"/>
      <c r="MCT79" s="278" t="inlineStr"/>
      <c r="MCU79" s="278" t="inlineStr"/>
      <c r="MCV79" s="278" t="inlineStr"/>
      <c r="MCW79" s="278" t="inlineStr"/>
      <c r="MCX79" s="278" t="inlineStr"/>
      <c r="MCY79" s="278" t="inlineStr"/>
      <c r="MCZ79" s="278" t="inlineStr"/>
      <c r="MDA79" s="278" t="inlineStr"/>
      <c r="MDB79" s="278" t="inlineStr"/>
      <c r="MDC79" s="278" t="inlineStr"/>
      <c r="MDD79" s="278" t="inlineStr"/>
      <c r="MDE79" s="278" t="inlineStr"/>
      <c r="MDF79" s="278" t="inlineStr"/>
      <c r="MDG79" s="278" t="inlineStr"/>
      <c r="MDH79" s="278" t="inlineStr"/>
      <c r="MDI79" s="278" t="inlineStr"/>
      <c r="MDJ79" s="278" t="inlineStr"/>
      <c r="MDK79" s="278" t="inlineStr"/>
      <c r="MDL79" s="278" t="inlineStr"/>
      <c r="MDM79" s="278" t="inlineStr"/>
      <c r="MDN79" s="278" t="inlineStr"/>
      <c r="MDO79" s="278" t="inlineStr"/>
      <c r="MDP79" s="278" t="inlineStr"/>
      <c r="MDQ79" s="278" t="inlineStr"/>
      <c r="MDR79" s="278" t="inlineStr"/>
      <c r="MDS79" s="278" t="inlineStr"/>
      <c r="MDT79" s="278" t="inlineStr"/>
      <c r="MDU79" s="278" t="inlineStr"/>
      <c r="MDV79" s="278" t="inlineStr"/>
      <c r="MDW79" s="278" t="inlineStr"/>
      <c r="MDX79" s="278" t="inlineStr"/>
      <c r="MDY79" s="278" t="inlineStr"/>
      <c r="MDZ79" s="278" t="inlineStr"/>
      <c r="MEA79" s="278" t="inlineStr"/>
      <c r="MEB79" s="278" t="inlineStr"/>
      <c r="MEC79" s="278" t="inlineStr"/>
      <c r="MED79" s="278" t="inlineStr"/>
      <c r="MEE79" s="278" t="inlineStr"/>
      <c r="MEF79" s="278" t="inlineStr"/>
      <c r="MEG79" s="278" t="inlineStr"/>
      <c r="MEH79" s="278" t="inlineStr"/>
      <c r="MEI79" s="278" t="inlineStr"/>
      <c r="MEJ79" s="278" t="inlineStr"/>
      <c r="MEK79" s="278" t="inlineStr"/>
      <c r="MEL79" s="278" t="inlineStr"/>
      <c r="MEM79" s="278" t="inlineStr"/>
      <c r="MEN79" s="278" t="inlineStr"/>
      <c r="MEO79" s="278" t="inlineStr"/>
      <c r="MEP79" s="278" t="inlineStr"/>
      <c r="MEQ79" s="278" t="inlineStr"/>
      <c r="MER79" s="278" t="inlineStr"/>
      <c r="MES79" s="278" t="inlineStr"/>
      <c r="MET79" s="278" t="inlineStr"/>
      <c r="MEU79" s="278" t="inlineStr"/>
      <c r="MEV79" s="278" t="inlineStr"/>
      <c r="MEW79" s="278" t="inlineStr"/>
      <c r="MEX79" s="278" t="inlineStr"/>
      <c r="MEY79" s="278" t="inlineStr"/>
      <c r="MEZ79" s="278" t="inlineStr"/>
      <c r="MFA79" s="278" t="inlineStr"/>
      <c r="MFB79" s="278" t="inlineStr"/>
      <c r="MFC79" s="278" t="inlineStr"/>
      <c r="MFD79" s="278" t="inlineStr"/>
      <c r="MFE79" s="278" t="inlineStr"/>
      <c r="MFF79" s="278" t="inlineStr"/>
      <c r="MFG79" s="278" t="inlineStr"/>
      <c r="MFH79" s="278" t="inlineStr"/>
      <c r="MFI79" s="278" t="inlineStr"/>
      <c r="MFJ79" s="278" t="inlineStr"/>
      <c r="MFK79" s="278" t="inlineStr"/>
      <c r="MFL79" s="278" t="inlineStr"/>
      <c r="MFM79" s="278" t="inlineStr"/>
      <c r="MFN79" s="278" t="inlineStr"/>
      <c r="MFO79" s="278" t="inlineStr"/>
      <c r="MFP79" s="278" t="inlineStr"/>
      <c r="MFQ79" s="278" t="inlineStr"/>
      <c r="MFR79" s="278" t="inlineStr"/>
      <c r="MFS79" s="278" t="inlineStr"/>
      <c r="MFT79" s="278" t="inlineStr"/>
      <c r="MFU79" s="278" t="inlineStr"/>
      <c r="MFV79" s="278" t="inlineStr"/>
      <c r="MFW79" s="278" t="inlineStr"/>
      <c r="MFX79" s="278" t="inlineStr"/>
      <c r="MFY79" s="278" t="inlineStr"/>
      <c r="MFZ79" s="278" t="inlineStr"/>
      <c r="MGA79" s="278" t="inlineStr"/>
      <c r="MGB79" s="278" t="inlineStr"/>
      <c r="MGC79" s="278" t="inlineStr"/>
      <c r="MGD79" s="278" t="inlineStr"/>
      <c r="MGE79" s="278" t="inlineStr"/>
      <c r="MGF79" s="278" t="inlineStr"/>
      <c r="MGG79" s="278" t="inlineStr"/>
      <c r="MGH79" s="278" t="inlineStr"/>
      <c r="MGI79" s="278" t="inlineStr"/>
      <c r="MGJ79" s="278" t="inlineStr"/>
      <c r="MGK79" s="278" t="inlineStr"/>
      <c r="MGL79" s="278" t="inlineStr"/>
      <c r="MGM79" s="278" t="inlineStr"/>
      <c r="MGN79" s="278" t="inlineStr"/>
      <c r="MGO79" s="278" t="inlineStr"/>
      <c r="MGP79" s="278" t="inlineStr"/>
      <c r="MGQ79" s="278" t="inlineStr"/>
      <c r="MGR79" s="278" t="inlineStr"/>
      <c r="MGS79" s="278" t="inlineStr"/>
      <c r="MGT79" s="278" t="inlineStr"/>
      <c r="MGU79" s="278" t="inlineStr"/>
      <c r="MGV79" s="278" t="inlineStr"/>
      <c r="MGW79" s="278" t="inlineStr"/>
      <c r="MGX79" s="278" t="inlineStr"/>
      <c r="MGY79" s="278" t="inlineStr"/>
      <c r="MGZ79" s="278" t="inlineStr"/>
      <c r="MHA79" s="278" t="inlineStr"/>
      <c r="MHB79" s="278" t="inlineStr"/>
      <c r="MHC79" s="278" t="inlineStr"/>
      <c r="MHD79" s="278" t="inlineStr"/>
      <c r="MHE79" s="278" t="inlineStr"/>
      <c r="MHF79" s="278" t="inlineStr"/>
      <c r="MHG79" s="278" t="inlineStr"/>
      <c r="MHH79" s="278" t="inlineStr"/>
      <c r="MHI79" s="278" t="inlineStr"/>
      <c r="MHJ79" s="278" t="inlineStr"/>
      <c r="MHK79" s="278" t="inlineStr"/>
      <c r="MHL79" s="278" t="inlineStr"/>
      <c r="MHM79" s="278" t="inlineStr"/>
      <c r="MHN79" s="278" t="inlineStr"/>
      <c r="MHO79" s="278" t="inlineStr"/>
      <c r="MHP79" s="278" t="inlineStr"/>
      <c r="MHQ79" s="278" t="inlineStr"/>
      <c r="MHR79" s="278" t="inlineStr"/>
      <c r="MHS79" s="278" t="inlineStr"/>
      <c r="MHT79" s="278" t="inlineStr"/>
      <c r="MHU79" s="278" t="inlineStr"/>
      <c r="MHV79" s="278" t="inlineStr"/>
      <c r="MHW79" s="278" t="inlineStr"/>
      <c r="MHX79" s="278" t="inlineStr"/>
      <c r="MHY79" s="278" t="inlineStr"/>
      <c r="MHZ79" s="278" t="inlineStr"/>
      <c r="MIA79" s="278" t="inlineStr"/>
      <c r="MIB79" s="278" t="inlineStr"/>
      <c r="MIC79" s="278" t="inlineStr"/>
      <c r="MID79" s="278" t="inlineStr"/>
      <c r="MIE79" s="278" t="inlineStr"/>
      <c r="MIF79" s="278" t="inlineStr"/>
      <c r="MIG79" s="278" t="inlineStr"/>
      <c r="MIH79" s="278" t="inlineStr"/>
      <c r="MII79" s="278" t="inlineStr"/>
      <c r="MIJ79" s="278" t="inlineStr"/>
      <c r="MIK79" s="278" t="inlineStr"/>
      <c r="MIL79" s="278" t="inlineStr"/>
      <c r="MIM79" s="278" t="inlineStr"/>
      <c r="MIN79" s="278" t="inlineStr"/>
      <c r="MIO79" s="278" t="inlineStr"/>
      <c r="MIP79" s="278" t="inlineStr"/>
      <c r="MIQ79" s="278" t="inlineStr"/>
      <c r="MIR79" s="278" t="inlineStr"/>
      <c r="MIS79" s="278" t="inlineStr"/>
      <c r="MIT79" s="278" t="inlineStr"/>
      <c r="MIU79" s="278" t="inlineStr"/>
      <c r="MIV79" s="278" t="inlineStr"/>
      <c r="MIW79" s="278" t="inlineStr"/>
      <c r="MIX79" s="278" t="inlineStr"/>
      <c r="MIY79" s="278" t="inlineStr"/>
      <c r="MIZ79" s="278" t="inlineStr"/>
      <c r="MJA79" s="278" t="inlineStr"/>
      <c r="MJB79" s="278" t="inlineStr"/>
      <c r="MJC79" s="278" t="inlineStr"/>
      <c r="MJD79" s="278" t="inlineStr"/>
      <c r="MJE79" s="278" t="inlineStr"/>
      <c r="MJF79" s="278" t="inlineStr"/>
      <c r="MJG79" s="278" t="inlineStr"/>
      <c r="MJH79" s="278" t="inlineStr"/>
      <c r="MJI79" s="278" t="inlineStr"/>
      <c r="MJJ79" s="278" t="inlineStr"/>
      <c r="MJK79" s="278" t="inlineStr"/>
      <c r="MJL79" s="278" t="inlineStr"/>
      <c r="MJM79" s="278" t="inlineStr"/>
      <c r="MJN79" s="278" t="inlineStr"/>
      <c r="MJO79" s="278" t="inlineStr"/>
      <c r="MJP79" s="278" t="inlineStr"/>
      <c r="MJQ79" s="278" t="inlineStr"/>
      <c r="MJR79" s="278" t="inlineStr"/>
      <c r="MJS79" s="278" t="inlineStr"/>
      <c r="MJT79" s="278" t="inlineStr"/>
      <c r="MJU79" s="278" t="inlineStr"/>
      <c r="MJV79" s="278" t="inlineStr"/>
      <c r="MJW79" s="278" t="inlineStr"/>
      <c r="MJX79" s="278" t="inlineStr"/>
      <c r="MJY79" s="278" t="inlineStr"/>
      <c r="MJZ79" s="278" t="inlineStr"/>
      <c r="MKA79" s="278" t="inlineStr"/>
      <c r="MKB79" s="278" t="inlineStr"/>
      <c r="MKC79" s="278" t="inlineStr"/>
      <c r="MKD79" s="278" t="inlineStr"/>
      <c r="MKE79" s="278" t="inlineStr"/>
      <c r="MKF79" s="278" t="inlineStr"/>
      <c r="MKG79" s="278" t="inlineStr"/>
      <c r="MKH79" s="278" t="inlineStr"/>
      <c r="MKI79" s="278" t="inlineStr"/>
      <c r="MKJ79" s="278" t="inlineStr"/>
      <c r="MKK79" s="278" t="inlineStr"/>
      <c r="MKL79" s="278" t="inlineStr"/>
      <c r="MKM79" s="278" t="inlineStr"/>
      <c r="MKN79" s="278" t="inlineStr"/>
      <c r="MKO79" s="278" t="inlineStr"/>
      <c r="MKP79" s="278" t="inlineStr"/>
      <c r="MKQ79" s="278" t="inlineStr"/>
      <c r="MKR79" s="278" t="inlineStr"/>
      <c r="MKS79" s="278" t="inlineStr"/>
      <c r="MKT79" s="278" t="inlineStr"/>
      <c r="MKU79" s="278" t="inlineStr"/>
      <c r="MKV79" s="278" t="inlineStr"/>
      <c r="MKW79" s="278" t="inlineStr"/>
      <c r="MKX79" s="278" t="inlineStr"/>
      <c r="MKY79" s="278" t="inlineStr"/>
      <c r="MKZ79" s="278" t="inlineStr"/>
      <c r="MLA79" s="278" t="inlineStr"/>
      <c r="MLB79" s="278" t="inlineStr"/>
      <c r="MLC79" s="278" t="inlineStr"/>
      <c r="MLD79" s="278" t="inlineStr"/>
      <c r="MLE79" s="278" t="inlineStr"/>
      <c r="MLF79" s="278" t="inlineStr"/>
      <c r="MLG79" s="278" t="inlineStr"/>
      <c r="MLH79" s="278" t="inlineStr"/>
      <c r="MLI79" s="278" t="inlineStr"/>
      <c r="MLJ79" s="278" t="inlineStr"/>
      <c r="MLK79" s="278" t="inlineStr"/>
      <c r="MLL79" s="278" t="inlineStr"/>
      <c r="MLM79" s="278" t="inlineStr"/>
      <c r="MLN79" s="278" t="inlineStr"/>
      <c r="MLO79" s="278" t="inlineStr"/>
      <c r="MLP79" s="278" t="inlineStr"/>
      <c r="MLQ79" s="278" t="inlineStr"/>
      <c r="MLR79" s="278" t="inlineStr"/>
      <c r="MLS79" s="278" t="inlineStr"/>
      <c r="MLT79" s="278" t="inlineStr"/>
      <c r="MLU79" s="278" t="inlineStr"/>
      <c r="MLV79" s="278" t="inlineStr"/>
      <c r="MLW79" s="278" t="inlineStr"/>
      <c r="MLX79" s="278" t="inlineStr"/>
      <c r="MLY79" s="278" t="inlineStr"/>
      <c r="MLZ79" s="278" t="inlineStr"/>
      <c r="MMA79" s="278" t="inlineStr"/>
      <c r="MMB79" s="278" t="inlineStr"/>
      <c r="MMC79" s="278" t="inlineStr"/>
      <c r="MMD79" s="278" t="inlineStr"/>
      <c r="MME79" s="278" t="inlineStr"/>
      <c r="MMF79" s="278" t="inlineStr"/>
      <c r="MMG79" s="278" t="inlineStr"/>
      <c r="MMH79" s="278" t="inlineStr"/>
      <c r="MMI79" s="278" t="inlineStr"/>
      <c r="MMJ79" s="278" t="inlineStr"/>
      <c r="MMK79" s="278" t="inlineStr"/>
      <c r="MML79" s="278" t="inlineStr"/>
      <c r="MMM79" s="278" t="inlineStr"/>
      <c r="MMN79" s="278" t="inlineStr"/>
      <c r="MMO79" s="278" t="inlineStr"/>
      <c r="MMP79" s="278" t="inlineStr"/>
      <c r="MMQ79" s="278" t="inlineStr"/>
      <c r="MMR79" s="278" t="inlineStr"/>
      <c r="MMS79" s="278" t="inlineStr"/>
      <c r="MMT79" s="278" t="inlineStr"/>
      <c r="MMU79" s="278" t="inlineStr"/>
      <c r="MMV79" s="278" t="inlineStr"/>
      <c r="MMW79" s="278" t="inlineStr"/>
      <c r="MMX79" s="278" t="inlineStr"/>
      <c r="MMY79" s="278" t="inlineStr"/>
      <c r="MMZ79" s="278" t="inlineStr"/>
      <c r="MNA79" s="278" t="inlineStr"/>
      <c r="MNB79" s="278" t="inlineStr"/>
      <c r="MNC79" s="278" t="inlineStr"/>
      <c r="MND79" s="278" t="inlineStr"/>
      <c r="MNE79" s="278" t="inlineStr"/>
      <c r="MNF79" s="278" t="inlineStr"/>
      <c r="MNG79" s="278" t="inlineStr"/>
      <c r="MNH79" s="278" t="inlineStr"/>
      <c r="MNI79" s="278" t="inlineStr"/>
      <c r="MNJ79" s="278" t="inlineStr"/>
      <c r="MNK79" s="278" t="inlineStr"/>
      <c r="MNL79" s="278" t="inlineStr"/>
      <c r="MNM79" s="278" t="inlineStr"/>
      <c r="MNN79" s="278" t="inlineStr"/>
      <c r="MNO79" s="278" t="inlineStr"/>
      <c r="MNP79" s="278" t="inlineStr"/>
      <c r="MNQ79" s="278" t="inlineStr"/>
      <c r="MNR79" s="278" t="inlineStr"/>
      <c r="MNS79" s="278" t="inlineStr"/>
      <c r="MNT79" s="278" t="inlineStr"/>
      <c r="MNU79" s="278" t="inlineStr"/>
      <c r="MNV79" s="278" t="inlineStr"/>
      <c r="MNW79" s="278" t="inlineStr"/>
      <c r="MNX79" s="278" t="inlineStr"/>
      <c r="MNY79" s="278" t="inlineStr"/>
      <c r="MNZ79" s="278" t="inlineStr"/>
      <c r="MOA79" s="278" t="inlineStr"/>
      <c r="MOB79" s="278" t="inlineStr"/>
      <c r="MOC79" s="278" t="inlineStr"/>
      <c r="MOD79" s="278" t="inlineStr"/>
      <c r="MOE79" s="278" t="inlineStr"/>
      <c r="MOF79" s="278" t="inlineStr"/>
      <c r="MOG79" s="278" t="inlineStr"/>
      <c r="MOH79" s="278" t="inlineStr"/>
      <c r="MOI79" s="278" t="inlineStr"/>
      <c r="MOJ79" s="278" t="inlineStr"/>
      <c r="MOK79" s="278" t="inlineStr"/>
      <c r="MOL79" s="278" t="inlineStr"/>
      <c r="MOM79" s="278" t="inlineStr"/>
      <c r="MON79" s="278" t="inlineStr"/>
      <c r="MOO79" s="278" t="inlineStr"/>
      <c r="MOP79" s="278" t="inlineStr"/>
      <c r="MOQ79" s="278" t="inlineStr"/>
      <c r="MOR79" s="278" t="inlineStr"/>
      <c r="MOS79" s="278" t="inlineStr"/>
      <c r="MOT79" s="278" t="inlineStr"/>
      <c r="MOU79" s="278" t="inlineStr"/>
      <c r="MOV79" s="278" t="inlineStr"/>
      <c r="MOW79" s="278" t="inlineStr"/>
      <c r="MOX79" s="278" t="inlineStr"/>
      <c r="MOY79" s="278" t="inlineStr"/>
      <c r="MOZ79" s="278" t="inlineStr"/>
      <c r="MPA79" s="278" t="inlineStr"/>
      <c r="MPB79" s="278" t="inlineStr"/>
      <c r="MPC79" s="278" t="inlineStr"/>
      <c r="MPD79" s="278" t="inlineStr"/>
      <c r="MPE79" s="278" t="inlineStr"/>
      <c r="MPF79" s="278" t="inlineStr"/>
      <c r="MPG79" s="278" t="inlineStr"/>
      <c r="MPH79" s="278" t="inlineStr"/>
      <c r="MPI79" s="278" t="inlineStr"/>
      <c r="MPJ79" s="278" t="inlineStr"/>
      <c r="MPK79" s="278" t="inlineStr"/>
      <c r="MPL79" s="278" t="inlineStr"/>
      <c r="MPM79" s="278" t="inlineStr"/>
      <c r="MPN79" s="278" t="inlineStr"/>
      <c r="MPO79" s="278" t="inlineStr"/>
      <c r="MPP79" s="278" t="inlineStr"/>
      <c r="MPQ79" s="278" t="inlineStr"/>
      <c r="MPR79" s="278" t="inlineStr"/>
      <c r="MPS79" s="278" t="inlineStr"/>
      <c r="MPT79" s="278" t="inlineStr"/>
      <c r="MPU79" s="278" t="inlineStr"/>
      <c r="MPV79" s="278" t="inlineStr"/>
      <c r="MPW79" s="278" t="inlineStr"/>
      <c r="MPX79" s="278" t="inlineStr"/>
      <c r="MPY79" s="278" t="inlineStr"/>
      <c r="MPZ79" s="278" t="inlineStr"/>
      <c r="MQA79" s="278" t="inlineStr"/>
      <c r="MQB79" s="278" t="inlineStr"/>
      <c r="MQC79" s="278" t="inlineStr"/>
      <c r="MQD79" s="278" t="inlineStr"/>
      <c r="MQE79" s="278" t="inlineStr"/>
      <c r="MQF79" s="278" t="inlineStr"/>
      <c r="MQG79" s="278" t="inlineStr"/>
      <c r="MQH79" s="278" t="inlineStr"/>
      <c r="MQI79" s="278" t="inlineStr"/>
      <c r="MQJ79" s="278" t="inlineStr"/>
      <c r="MQK79" s="278" t="inlineStr"/>
      <c r="MQL79" s="278" t="inlineStr"/>
      <c r="MQM79" s="278" t="inlineStr"/>
      <c r="MQN79" s="278" t="inlineStr"/>
      <c r="MQO79" s="278" t="inlineStr"/>
      <c r="MQP79" s="278" t="inlineStr"/>
      <c r="MQQ79" s="278" t="inlineStr"/>
      <c r="MQR79" s="278" t="inlineStr"/>
      <c r="MQS79" s="278" t="inlineStr"/>
      <c r="MQT79" s="278" t="inlineStr"/>
      <c r="MQU79" s="278" t="inlineStr"/>
      <c r="MQV79" s="278" t="inlineStr"/>
      <c r="MQW79" s="278" t="inlineStr"/>
      <c r="MQX79" s="278" t="inlineStr"/>
      <c r="MQY79" s="278" t="inlineStr"/>
      <c r="MQZ79" s="278" t="inlineStr"/>
      <c r="MRA79" s="278" t="inlineStr"/>
      <c r="MRB79" s="278" t="inlineStr"/>
      <c r="MRC79" s="278" t="inlineStr"/>
      <c r="MRD79" s="278" t="inlineStr"/>
      <c r="MRE79" s="278" t="inlineStr"/>
      <c r="MRF79" s="278" t="inlineStr"/>
      <c r="MRG79" s="278" t="inlineStr"/>
      <c r="MRH79" s="278" t="inlineStr"/>
      <c r="MRI79" s="278" t="inlineStr"/>
      <c r="MRJ79" s="278" t="inlineStr"/>
      <c r="MRK79" s="278" t="inlineStr"/>
      <c r="MRL79" s="278" t="inlineStr"/>
      <c r="MRM79" s="278" t="inlineStr"/>
      <c r="MRN79" s="278" t="inlineStr"/>
      <c r="MRO79" s="278" t="inlineStr"/>
      <c r="MRP79" s="278" t="inlineStr"/>
      <c r="MRQ79" s="278" t="inlineStr"/>
      <c r="MRR79" s="278" t="inlineStr"/>
      <c r="MRS79" s="278" t="inlineStr"/>
      <c r="MRT79" s="278" t="inlineStr"/>
      <c r="MRU79" s="278" t="inlineStr"/>
      <c r="MRV79" s="278" t="inlineStr"/>
      <c r="MRW79" s="278" t="inlineStr"/>
      <c r="MRX79" s="278" t="inlineStr"/>
      <c r="MRY79" s="278" t="inlineStr"/>
      <c r="MRZ79" s="278" t="inlineStr"/>
      <c r="MSA79" s="278" t="inlineStr"/>
      <c r="MSB79" s="278" t="inlineStr"/>
      <c r="MSC79" s="278" t="inlineStr"/>
      <c r="MSD79" s="278" t="inlineStr"/>
      <c r="MSE79" s="278" t="inlineStr"/>
      <c r="MSF79" s="278" t="inlineStr"/>
      <c r="MSG79" s="278" t="inlineStr"/>
      <c r="MSH79" s="278" t="inlineStr"/>
      <c r="MSI79" s="278" t="inlineStr"/>
      <c r="MSJ79" s="278" t="inlineStr"/>
      <c r="MSK79" s="278" t="inlineStr"/>
      <c r="MSL79" s="278" t="inlineStr"/>
      <c r="MSM79" s="278" t="inlineStr"/>
      <c r="MSN79" s="278" t="inlineStr"/>
      <c r="MSO79" s="278" t="inlineStr"/>
      <c r="MSP79" s="278" t="inlineStr"/>
      <c r="MSQ79" s="278" t="inlineStr"/>
      <c r="MSR79" s="278" t="inlineStr"/>
      <c r="MSS79" s="278" t="inlineStr"/>
      <c r="MST79" s="278" t="inlineStr"/>
      <c r="MSU79" s="278" t="inlineStr"/>
      <c r="MSV79" s="278" t="inlineStr"/>
      <c r="MSW79" s="278" t="inlineStr"/>
      <c r="MSX79" s="278" t="inlineStr"/>
      <c r="MSY79" s="278" t="inlineStr"/>
      <c r="MSZ79" s="278" t="inlineStr"/>
      <c r="MTA79" s="278" t="inlineStr"/>
      <c r="MTB79" s="278" t="inlineStr"/>
      <c r="MTC79" s="278" t="inlineStr"/>
      <c r="MTD79" s="278" t="inlineStr"/>
      <c r="MTE79" s="278" t="inlineStr"/>
      <c r="MTF79" s="278" t="inlineStr"/>
      <c r="MTG79" s="278" t="inlineStr"/>
      <c r="MTH79" s="278" t="inlineStr"/>
      <c r="MTI79" s="278" t="inlineStr"/>
      <c r="MTJ79" s="278" t="inlineStr"/>
      <c r="MTK79" s="278" t="inlineStr"/>
      <c r="MTL79" s="278" t="inlineStr"/>
      <c r="MTM79" s="278" t="inlineStr"/>
      <c r="MTN79" s="278" t="inlineStr"/>
      <c r="MTO79" s="278" t="inlineStr"/>
      <c r="MTP79" s="278" t="inlineStr"/>
      <c r="MTQ79" s="278" t="inlineStr"/>
      <c r="MTR79" s="278" t="inlineStr"/>
      <c r="MTS79" s="278" t="inlineStr"/>
      <c r="MTT79" s="278" t="inlineStr"/>
      <c r="MTU79" s="278" t="inlineStr"/>
      <c r="MTV79" s="278" t="inlineStr"/>
      <c r="MTW79" s="278" t="inlineStr"/>
      <c r="MTX79" s="278" t="inlineStr"/>
      <c r="MTY79" s="278" t="inlineStr"/>
      <c r="MTZ79" s="278" t="inlineStr"/>
      <c r="MUA79" s="278" t="inlineStr"/>
      <c r="MUB79" s="278" t="inlineStr"/>
      <c r="MUC79" s="278" t="inlineStr"/>
      <c r="MUD79" s="278" t="inlineStr"/>
      <c r="MUE79" s="278" t="inlineStr"/>
      <c r="MUF79" s="278" t="inlineStr"/>
      <c r="MUG79" s="278" t="inlineStr"/>
      <c r="MUH79" s="278" t="inlineStr"/>
      <c r="MUI79" s="278" t="inlineStr"/>
      <c r="MUJ79" s="278" t="inlineStr"/>
      <c r="MUK79" s="278" t="inlineStr"/>
      <c r="MUL79" s="278" t="inlineStr"/>
      <c r="MUM79" s="278" t="inlineStr"/>
      <c r="MUN79" s="278" t="inlineStr"/>
      <c r="MUO79" s="278" t="inlineStr"/>
      <c r="MUP79" s="278" t="inlineStr"/>
      <c r="MUQ79" s="278" t="inlineStr"/>
      <c r="MUR79" s="278" t="inlineStr"/>
      <c r="MUS79" s="278" t="inlineStr"/>
      <c r="MUT79" s="278" t="inlineStr"/>
      <c r="MUU79" s="278" t="inlineStr"/>
      <c r="MUV79" s="278" t="inlineStr"/>
      <c r="MUW79" s="278" t="inlineStr"/>
      <c r="MUX79" s="278" t="inlineStr"/>
      <c r="MUY79" s="278" t="inlineStr"/>
      <c r="MUZ79" s="278" t="inlineStr"/>
      <c r="MVA79" s="278" t="inlineStr"/>
      <c r="MVB79" s="278" t="inlineStr"/>
      <c r="MVC79" s="278" t="inlineStr"/>
      <c r="MVD79" s="278" t="inlineStr"/>
      <c r="MVE79" s="278" t="inlineStr"/>
      <c r="MVF79" s="278" t="inlineStr"/>
      <c r="MVG79" s="278" t="inlineStr"/>
      <c r="MVH79" s="278" t="inlineStr"/>
      <c r="MVI79" s="278" t="inlineStr"/>
      <c r="MVJ79" s="278" t="inlineStr"/>
      <c r="MVK79" s="278" t="inlineStr"/>
      <c r="MVL79" s="278" t="inlineStr"/>
      <c r="MVM79" s="278" t="inlineStr"/>
      <c r="MVN79" s="278" t="inlineStr"/>
      <c r="MVO79" s="278" t="inlineStr"/>
      <c r="MVP79" s="278" t="inlineStr"/>
      <c r="MVQ79" s="278" t="inlineStr"/>
      <c r="MVR79" s="278" t="inlineStr"/>
      <c r="MVS79" s="278" t="inlineStr"/>
      <c r="MVT79" s="278" t="inlineStr"/>
      <c r="MVU79" s="278" t="inlineStr"/>
      <c r="MVV79" s="278" t="inlineStr"/>
      <c r="MVW79" s="278" t="inlineStr"/>
      <c r="MVX79" s="278" t="inlineStr"/>
      <c r="MVY79" s="278" t="inlineStr"/>
      <c r="MVZ79" s="278" t="inlineStr"/>
      <c r="MWA79" s="278" t="inlineStr"/>
      <c r="MWB79" s="278" t="inlineStr"/>
      <c r="MWC79" s="278" t="inlineStr"/>
      <c r="MWD79" s="278" t="inlineStr"/>
      <c r="MWE79" s="278" t="inlineStr"/>
      <c r="MWF79" s="278" t="inlineStr"/>
      <c r="MWG79" s="278" t="inlineStr"/>
      <c r="MWH79" s="278" t="inlineStr"/>
      <c r="MWI79" s="278" t="inlineStr"/>
      <c r="MWJ79" s="278" t="inlineStr"/>
      <c r="MWK79" s="278" t="inlineStr"/>
      <c r="MWL79" s="278" t="inlineStr"/>
      <c r="MWM79" s="278" t="inlineStr"/>
      <c r="MWN79" s="278" t="inlineStr"/>
      <c r="MWO79" s="278" t="inlineStr"/>
      <c r="MWP79" s="278" t="inlineStr"/>
      <c r="MWQ79" s="278" t="inlineStr"/>
      <c r="MWR79" s="278" t="inlineStr"/>
      <c r="MWS79" s="278" t="inlineStr"/>
      <c r="MWT79" s="278" t="inlineStr"/>
      <c r="MWU79" s="278" t="inlineStr"/>
      <c r="MWV79" s="278" t="inlineStr"/>
      <c r="MWW79" s="278" t="inlineStr"/>
      <c r="MWX79" s="278" t="inlineStr"/>
      <c r="MWY79" s="278" t="inlineStr"/>
      <c r="MWZ79" s="278" t="inlineStr"/>
      <c r="MXA79" s="278" t="inlineStr"/>
      <c r="MXB79" s="278" t="inlineStr"/>
      <c r="MXC79" s="278" t="inlineStr"/>
      <c r="MXD79" s="278" t="inlineStr"/>
      <c r="MXE79" s="278" t="inlineStr"/>
      <c r="MXF79" s="278" t="inlineStr"/>
      <c r="MXG79" s="278" t="inlineStr"/>
      <c r="MXH79" s="278" t="inlineStr"/>
      <c r="MXI79" s="278" t="inlineStr"/>
      <c r="MXJ79" s="278" t="inlineStr"/>
      <c r="MXK79" s="278" t="inlineStr"/>
      <c r="MXL79" s="278" t="inlineStr"/>
      <c r="MXM79" s="278" t="inlineStr"/>
      <c r="MXN79" s="278" t="inlineStr"/>
      <c r="MXO79" s="278" t="inlineStr"/>
      <c r="MXP79" s="278" t="inlineStr"/>
      <c r="MXQ79" s="278" t="inlineStr"/>
      <c r="MXR79" s="278" t="inlineStr"/>
      <c r="MXS79" s="278" t="inlineStr"/>
      <c r="MXT79" s="278" t="inlineStr"/>
      <c r="MXU79" s="278" t="inlineStr"/>
      <c r="MXV79" s="278" t="inlineStr"/>
      <c r="MXW79" s="278" t="inlineStr"/>
      <c r="MXX79" s="278" t="inlineStr"/>
      <c r="MXY79" s="278" t="inlineStr"/>
      <c r="MXZ79" s="278" t="inlineStr"/>
      <c r="MYA79" s="278" t="inlineStr"/>
      <c r="MYB79" s="278" t="inlineStr"/>
      <c r="MYC79" s="278" t="inlineStr"/>
      <c r="MYD79" s="278" t="inlineStr"/>
      <c r="MYE79" s="278" t="inlineStr"/>
      <c r="MYF79" s="278" t="inlineStr"/>
      <c r="MYG79" s="278" t="inlineStr"/>
      <c r="MYH79" s="278" t="inlineStr"/>
      <c r="MYI79" s="278" t="inlineStr"/>
      <c r="MYJ79" s="278" t="inlineStr"/>
      <c r="MYK79" s="278" t="inlineStr"/>
      <c r="MYL79" s="278" t="inlineStr"/>
      <c r="MYM79" s="278" t="inlineStr"/>
      <c r="MYN79" s="278" t="inlineStr"/>
      <c r="MYO79" s="278" t="inlineStr"/>
      <c r="MYP79" s="278" t="inlineStr"/>
      <c r="MYQ79" s="278" t="inlineStr"/>
      <c r="MYR79" s="278" t="inlineStr"/>
      <c r="MYS79" s="278" t="inlineStr"/>
      <c r="MYT79" s="278" t="inlineStr"/>
      <c r="MYU79" s="278" t="inlineStr"/>
      <c r="MYV79" s="278" t="inlineStr"/>
      <c r="MYW79" s="278" t="inlineStr"/>
      <c r="MYX79" s="278" t="inlineStr"/>
      <c r="MYY79" s="278" t="inlineStr"/>
      <c r="MYZ79" s="278" t="inlineStr"/>
      <c r="MZA79" s="278" t="inlineStr"/>
      <c r="MZB79" s="278" t="inlineStr"/>
      <c r="MZC79" s="278" t="inlineStr"/>
      <c r="MZD79" s="278" t="inlineStr"/>
      <c r="MZE79" s="278" t="inlineStr"/>
      <c r="MZF79" s="278" t="inlineStr"/>
      <c r="MZG79" s="278" t="inlineStr"/>
      <c r="MZH79" s="278" t="inlineStr"/>
      <c r="MZI79" s="278" t="inlineStr"/>
      <c r="MZJ79" s="278" t="inlineStr"/>
      <c r="MZK79" s="278" t="inlineStr"/>
      <c r="MZL79" s="278" t="inlineStr"/>
      <c r="MZM79" s="278" t="inlineStr"/>
      <c r="MZN79" s="278" t="inlineStr"/>
      <c r="MZO79" s="278" t="inlineStr"/>
      <c r="MZP79" s="278" t="inlineStr"/>
      <c r="MZQ79" s="278" t="inlineStr"/>
      <c r="MZR79" s="278" t="inlineStr"/>
      <c r="MZS79" s="278" t="inlineStr"/>
      <c r="MZT79" s="278" t="inlineStr"/>
      <c r="MZU79" s="278" t="inlineStr"/>
      <c r="MZV79" s="278" t="inlineStr"/>
      <c r="MZW79" s="278" t="inlineStr"/>
      <c r="MZX79" s="278" t="inlineStr"/>
      <c r="MZY79" s="278" t="inlineStr"/>
      <c r="MZZ79" s="278" t="inlineStr"/>
      <c r="NAA79" s="278" t="inlineStr"/>
      <c r="NAB79" s="278" t="inlineStr"/>
      <c r="NAC79" s="278" t="inlineStr"/>
      <c r="NAD79" s="278" t="inlineStr"/>
      <c r="NAE79" s="278" t="inlineStr"/>
      <c r="NAF79" s="278" t="inlineStr"/>
      <c r="NAG79" s="278" t="inlineStr"/>
      <c r="NAH79" s="278" t="inlineStr"/>
      <c r="NAI79" s="278" t="inlineStr"/>
      <c r="NAJ79" s="278" t="inlineStr"/>
      <c r="NAK79" s="278" t="inlineStr"/>
      <c r="NAL79" s="278" t="inlineStr"/>
      <c r="NAM79" s="278" t="inlineStr"/>
      <c r="NAN79" s="278" t="inlineStr"/>
      <c r="NAO79" s="278" t="inlineStr"/>
      <c r="NAP79" s="278" t="inlineStr"/>
      <c r="NAQ79" s="278" t="inlineStr"/>
      <c r="NAR79" s="278" t="inlineStr"/>
      <c r="NAS79" s="278" t="inlineStr"/>
      <c r="NAT79" s="278" t="inlineStr"/>
      <c r="NAU79" s="278" t="inlineStr"/>
      <c r="NAV79" s="278" t="inlineStr"/>
      <c r="NAW79" s="278" t="inlineStr"/>
      <c r="NAX79" s="278" t="inlineStr"/>
      <c r="NAY79" s="278" t="inlineStr"/>
      <c r="NAZ79" s="278" t="inlineStr"/>
      <c r="NBA79" s="278" t="inlineStr"/>
      <c r="NBB79" s="278" t="inlineStr"/>
      <c r="NBC79" s="278" t="inlineStr"/>
      <c r="NBD79" s="278" t="inlineStr"/>
      <c r="NBE79" s="278" t="inlineStr"/>
      <c r="NBF79" s="278" t="inlineStr"/>
      <c r="NBG79" s="278" t="inlineStr"/>
      <c r="NBH79" s="278" t="inlineStr"/>
      <c r="NBI79" s="278" t="inlineStr"/>
      <c r="NBJ79" s="278" t="inlineStr"/>
      <c r="NBK79" s="278" t="inlineStr"/>
      <c r="NBL79" s="278" t="inlineStr"/>
      <c r="NBM79" s="278" t="inlineStr"/>
      <c r="NBN79" s="278" t="inlineStr"/>
      <c r="NBO79" s="278" t="inlineStr"/>
      <c r="NBP79" s="278" t="inlineStr"/>
      <c r="NBQ79" s="278" t="inlineStr"/>
      <c r="NBR79" s="278" t="inlineStr"/>
      <c r="NBS79" s="278" t="inlineStr"/>
      <c r="NBT79" s="278" t="inlineStr"/>
      <c r="NBU79" s="278" t="inlineStr"/>
      <c r="NBV79" s="278" t="inlineStr"/>
      <c r="NBW79" s="278" t="inlineStr"/>
      <c r="NBX79" s="278" t="inlineStr"/>
      <c r="NBY79" s="278" t="inlineStr"/>
      <c r="NBZ79" s="278" t="inlineStr"/>
      <c r="NCA79" s="278" t="inlineStr"/>
      <c r="NCB79" s="278" t="inlineStr"/>
      <c r="NCC79" s="278" t="inlineStr"/>
      <c r="NCD79" s="278" t="inlineStr"/>
      <c r="NCE79" s="278" t="inlineStr"/>
      <c r="NCF79" s="278" t="inlineStr"/>
      <c r="NCG79" s="278" t="inlineStr"/>
      <c r="NCH79" s="278" t="inlineStr"/>
      <c r="NCI79" s="278" t="inlineStr"/>
      <c r="NCJ79" s="278" t="inlineStr"/>
      <c r="NCK79" s="278" t="inlineStr"/>
      <c r="NCL79" s="278" t="inlineStr"/>
      <c r="NCM79" s="278" t="inlineStr"/>
      <c r="NCN79" s="278" t="inlineStr"/>
      <c r="NCO79" s="278" t="inlineStr"/>
      <c r="NCP79" s="278" t="inlineStr"/>
      <c r="NCQ79" s="278" t="inlineStr"/>
      <c r="NCR79" s="278" t="inlineStr"/>
      <c r="NCS79" s="278" t="inlineStr"/>
      <c r="NCT79" s="278" t="inlineStr"/>
      <c r="NCU79" s="278" t="inlineStr"/>
      <c r="NCV79" s="278" t="inlineStr"/>
      <c r="NCW79" s="278" t="inlineStr"/>
      <c r="NCX79" s="278" t="inlineStr"/>
      <c r="NCY79" s="278" t="inlineStr"/>
      <c r="NCZ79" s="278" t="inlineStr"/>
      <c r="NDA79" s="278" t="inlineStr"/>
      <c r="NDB79" s="278" t="inlineStr"/>
      <c r="NDC79" s="278" t="inlineStr"/>
      <c r="NDD79" s="278" t="inlineStr"/>
      <c r="NDE79" s="278" t="inlineStr"/>
      <c r="NDF79" s="278" t="inlineStr"/>
      <c r="NDG79" s="278" t="inlineStr"/>
      <c r="NDH79" s="278" t="inlineStr"/>
      <c r="NDI79" s="278" t="inlineStr"/>
      <c r="NDJ79" s="278" t="inlineStr"/>
      <c r="NDK79" s="278" t="inlineStr"/>
      <c r="NDL79" s="278" t="inlineStr"/>
      <c r="NDM79" s="278" t="inlineStr"/>
      <c r="NDN79" s="278" t="inlineStr"/>
      <c r="NDO79" s="278" t="inlineStr"/>
      <c r="NDP79" s="278" t="inlineStr"/>
      <c r="NDQ79" s="278" t="inlineStr"/>
      <c r="NDR79" s="278" t="inlineStr"/>
      <c r="NDS79" s="278" t="inlineStr"/>
      <c r="NDT79" s="278" t="inlineStr"/>
      <c r="NDU79" s="278" t="inlineStr"/>
      <c r="NDV79" s="278" t="inlineStr"/>
      <c r="NDW79" s="278" t="inlineStr"/>
      <c r="NDX79" s="278" t="inlineStr"/>
      <c r="NDY79" s="278" t="inlineStr"/>
      <c r="NDZ79" s="278" t="inlineStr"/>
      <c r="NEA79" s="278" t="inlineStr"/>
      <c r="NEB79" s="278" t="inlineStr"/>
      <c r="NEC79" s="278" t="inlineStr"/>
      <c r="NED79" s="278" t="inlineStr"/>
      <c r="NEE79" s="278" t="inlineStr"/>
      <c r="NEF79" s="278" t="inlineStr"/>
      <c r="NEG79" s="278" t="inlineStr"/>
      <c r="NEH79" s="278" t="inlineStr"/>
      <c r="NEI79" s="278" t="inlineStr"/>
      <c r="NEJ79" s="278" t="inlineStr"/>
      <c r="NEK79" s="278" t="inlineStr"/>
      <c r="NEL79" s="278" t="inlineStr"/>
      <c r="NEM79" s="278" t="inlineStr"/>
      <c r="NEN79" s="278" t="inlineStr"/>
      <c r="NEO79" s="278" t="inlineStr"/>
      <c r="NEP79" s="278" t="inlineStr"/>
      <c r="NEQ79" s="278" t="inlineStr"/>
      <c r="NER79" s="278" t="inlineStr"/>
      <c r="NES79" s="278" t="inlineStr"/>
      <c r="NET79" s="278" t="inlineStr"/>
      <c r="NEU79" s="278" t="inlineStr"/>
      <c r="NEV79" s="278" t="inlineStr"/>
      <c r="NEW79" s="278" t="inlineStr"/>
      <c r="NEX79" s="278" t="inlineStr"/>
      <c r="NEY79" s="278" t="inlineStr"/>
      <c r="NEZ79" s="278" t="inlineStr"/>
      <c r="NFA79" s="278" t="inlineStr"/>
      <c r="NFB79" s="278" t="inlineStr"/>
      <c r="NFC79" s="278" t="inlineStr"/>
      <c r="NFD79" s="278" t="inlineStr"/>
      <c r="NFE79" s="278" t="inlineStr"/>
      <c r="NFF79" s="278" t="inlineStr"/>
      <c r="NFG79" s="278" t="inlineStr"/>
      <c r="NFH79" s="278" t="inlineStr"/>
      <c r="NFI79" s="278" t="inlineStr"/>
      <c r="NFJ79" s="278" t="inlineStr"/>
      <c r="NFK79" s="278" t="inlineStr"/>
      <c r="NFL79" s="278" t="inlineStr"/>
      <c r="NFM79" s="278" t="inlineStr"/>
      <c r="NFN79" s="278" t="inlineStr"/>
      <c r="NFO79" s="278" t="inlineStr"/>
      <c r="NFP79" s="278" t="inlineStr"/>
      <c r="NFQ79" s="278" t="inlineStr"/>
      <c r="NFR79" s="278" t="inlineStr"/>
      <c r="NFS79" s="278" t="inlineStr"/>
      <c r="NFT79" s="278" t="inlineStr"/>
      <c r="NFU79" s="278" t="inlineStr"/>
      <c r="NFV79" s="278" t="inlineStr"/>
      <c r="NFW79" s="278" t="inlineStr"/>
      <c r="NFX79" s="278" t="inlineStr"/>
      <c r="NFY79" s="278" t="inlineStr"/>
      <c r="NFZ79" s="278" t="inlineStr"/>
      <c r="NGA79" s="278" t="inlineStr"/>
      <c r="NGB79" s="278" t="inlineStr"/>
      <c r="NGC79" s="278" t="inlineStr"/>
      <c r="NGD79" s="278" t="inlineStr"/>
      <c r="NGE79" s="278" t="inlineStr"/>
      <c r="NGF79" s="278" t="inlineStr"/>
      <c r="NGG79" s="278" t="inlineStr"/>
      <c r="NGH79" s="278" t="inlineStr"/>
      <c r="NGI79" s="278" t="inlineStr"/>
      <c r="NGJ79" s="278" t="inlineStr"/>
      <c r="NGK79" s="278" t="inlineStr"/>
      <c r="NGL79" s="278" t="inlineStr"/>
      <c r="NGM79" s="278" t="inlineStr"/>
      <c r="NGN79" s="278" t="inlineStr"/>
      <c r="NGO79" s="278" t="inlineStr"/>
      <c r="NGP79" s="278" t="inlineStr"/>
      <c r="NGQ79" s="278" t="inlineStr"/>
      <c r="NGR79" s="278" t="inlineStr"/>
      <c r="NGS79" s="278" t="inlineStr"/>
      <c r="NGT79" s="278" t="inlineStr"/>
      <c r="NGU79" s="278" t="inlineStr"/>
      <c r="NGV79" s="278" t="inlineStr"/>
      <c r="NGW79" s="278" t="inlineStr"/>
      <c r="NGX79" s="278" t="inlineStr"/>
      <c r="NGY79" s="278" t="inlineStr"/>
      <c r="NGZ79" s="278" t="inlineStr"/>
      <c r="NHA79" s="278" t="inlineStr"/>
      <c r="NHB79" s="278" t="inlineStr"/>
      <c r="NHC79" s="278" t="inlineStr"/>
      <c r="NHD79" s="278" t="inlineStr"/>
      <c r="NHE79" s="278" t="inlineStr"/>
      <c r="NHF79" s="278" t="inlineStr"/>
      <c r="NHG79" s="278" t="inlineStr"/>
      <c r="NHH79" s="278" t="inlineStr"/>
      <c r="NHI79" s="278" t="inlineStr"/>
      <c r="NHJ79" s="278" t="inlineStr"/>
      <c r="NHK79" s="278" t="inlineStr"/>
      <c r="NHL79" s="278" t="inlineStr"/>
      <c r="NHM79" s="278" t="inlineStr"/>
      <c r="NHN79" s="278" t="inlineStr"/>
      <c r="NHO79" s="278" t="inlineStr"/>
      <c r="NHP79" s="278" t="inlineStr"/>
      <c r="NHQ79" s="278" t="inlineStr"/>
      <c r="NHR79" s="278" t="inlineStr"/>
      <c r="NHS79" s="278" t="inlineStr"/>
      <c r="NHT79" s="278" t="inlineStr"/>
      <c r="NHU79" s="278" t="inlineStr"/>
      <c r="NHV79" s="278" t="inlineStr"/>
      <c r="NHW79" s="278" t="inlineStr"/>
      <c r="NHX79" s="278" t="inlineStr"/>
      <c r="NHY79" s="278" t="inlineStr"/>
      <c r="NHZ79" s="278" t="inlineStr"/>
      <c r="NIA79" s="278" t="inlineStr"/>
      <c r="NIB79" s="278" t="inlineStr"/>
      <c r="NIC79" s="278" t="inlineStr"/>
      <c r="NID79" s="278" t="inlineStr"/>
      <c r="NIE79" s="278" t="inlineStr"/>
      <c r="NIF79" s="278" t="inlineStr"/>
      <c r="NIG79" s="278" t="inlineStr"/>
      <c r="NIH79" s="278" t="inlineStr"/>
      <c r="NII79" s="278" t="inlineStr"/>
      <c r="NIJ79" s="278" t="inlineStr"/>
      <c r="NIK79" s="278" t="inlineStr"/>
      <c r="NIL79" s="278" t="inlineStr"/>
      <c r="NIM79" s="278" t="inlineStr"/>
      <c r="NIN79" s="278" t="inlineStr"/>
      <c r="NIO79" s="278" t="inlineStr"/>
      <c r="NIP79" s="278" t="inlineStr"/>
      <c r="NIQ79" s="278" t="inlineStr"/>
      <c r="NIR79" s="278" t="inlineStr"/>
      <c r="NIS79" s="278" t="inlineStr"/>
      <c r="NIT79" s="278" t="inlineStr"/>
      <c r="NIU79" s="278" t="inlineStr"/>
      <c r="NIV79" s="278" t="inlineStr"/>
      <c r="NIW79" s="278" t="inlineStr"/>
      <c r="NIX79" s="278" t="inlineStr"/>
      <c r="NIY79" s="278" t="inlineStr"/>
      <c r="NIZ79" s="278" t="inlineStr"/>
      <c r="NJA79" s="278" t="inlineStr"/>
      <c r="NJB79" s="278" t="inlineStr"/>
      <c r="NJC79" s="278" t="inlineStr"/>
      <c r="NJD79" s="278" t="inlineStr"/>
      <c r="NJE79" s="278" t="inlineStr"/>
      <c r="NJF79" s="278" t="inlineStr"/>
      <c r="NJG79" s="278" t="inlineStr"/>
      <c r="NJH79" s="278" t="inlineStr"/>
      <c r="NJI79" s="278" t="inlineStr"/>
      <c r="NJJ79" s="278" t="inlineStr"/>
      <c r="NJK79" s="278" t="inlineStr"/>
      <c r="NJL79" s="278" t="inlineStr"/>
      <c r="NJM79" s="278" t="inlineStr"/>
      <c r="NJN79" s="278" t="inlineStr"/>
      <c r="NJO79" s="278" t="inlineStr"/>
      <c r="NJP79" s="278" t="inlineStr"/>
      <c r="NJQ79" s="278" t="inlineStr"/>
      <c r="NJR79" s="278" t="inlineStr"/>
      <c r="NJS79" s="278" t="inlineStr"/>
      <c r="NJT79" s="278" t="inlineStr"/>
      <c r="NJU79" s="278" t="inlineStr"/>
      <c r="NJV79" s="278" t="inlineStr"/>
      <c r="NJW79" s="278" t="inlineStr"/>
      <c r="NJX79" s="278" t="inlineStr"/>
      <c r="NJY79" s="278" t="inlineStr"/>
      <c r="NJZ79" s="278" t="inlineStr"/>
      <c r="NKA79" s="278" t="inlineStr"/>
      <c r="NKB79" s="278" t="inlineStr"/>
      <c r="NKC79" s="278" t="inlineStr"/>
      <c r="NKD79" s="278" t="inlineStr"/>
      <c r="NKE79" s="278" t="inlineStr"/>
      <c r="NKF79" s="278" t="inlineStr"/>
      <c r="NKG79" s="278" t="inlineStr"/>
      <c r="NKH79" s="278" t="inlineStr"/>
      <c r="NKI79" s="278" t="inlineStr"/>
      <c r="NKJ79" s="278" t="inlineStr"/>
      <c r="NKK79" s="278" t="inlineStr"/>
      <c r="NKL79" s="278" t="inlineStr"/>
      <c r="NKM79" s="278" t="inlineStr"/>
      <c r="NKN79" s="278" t="inlineStr"/>
      <c r="NKO79" s="278" t="inlineStr"/>
      <c r="NKP79" s="278" t="inlineStr"/>
      <c r="NKQ79" s="278" t="inlineStr"/>
      <c r="NKR79" s="278" t="inlineStr"/>
      <c r="NKS79" s="278" t="inlineStr"/>
      <c r="NKT79" s="278" t="inlineStr"/>
      <c r="NKU79" s="278" t="inlineStr"/>
      <c r="NKV79" s="278" t="inlineStr"/>
      <c r="NKW79" s="278" t="inlineStr"/>
      <c r="NKX79" s="278" t="inlineStr"/>
      <c r="NKY79" s="278" t="inlineStr"/>
      <c r="NKZ79" s="278" t="inlineStr"/>
      <c r="NLA79" s="278" t="inlineStr"/>
      <c r="NLB79" s="278" t="inlineStr"/>
      <c r="NLC79" s="278" t="inlineStr"/>
      <c r="NLD79" s="278" t="inlineStr"/>
      <c r="NLE79" s="278" t="inlineStr"/>
      <c r="NLF79" s="278" t="inlineStr"/>
      <c r="NLG79" s="278" t="inlineStr"/>
      <c r="NLH79" s="278" t="inlineStr"/>
      <c r="NLI79" s="278" t="inlineStr"/>
      <c r="NLJ79" s="278" t="inlineStr"/>
      <c r="NLK79" s="278" t="inlineStr"/>
      <c r="NLL79" s="278" t="inlineStr"/>
      <c r="NLM79" s="278" t="inlineStr"/>
      <c r="NLN79" s="278" t="inlineStr"/>
      <c r="NLO79" s="278" t="inlineStr"/>
      <c r="NLP79" s="278" t="inlineStr"/>
      <c r="NLQ79" s="278" t="inlineStr"/>
      <c r="NLR79" s="278" t="inlineStr"/>
      <c r="NLS79" s="278" t="inlineStr"/>
      <c r="NLT79" s="278" t="inlineStr"/>
      <c r="NLU79" s="278" t="inlineStr"/>
      <c r="NLV79" s="278" t="inlineStr"/>
      <c r="NLW79" s="278" t="inlineStr"/>
      <c r="NLX79" s="278" t="inlineStr"/>
      <c r="NLY79" s="278" t="inlineStr"/>
      <c r="NLZ79" s="278" t="inlineStr"/>
      <c r="NMA79" s="278" t="inlineStr"/>
      <c r="NMB79" s="278" t="inlineStr"/>
      <c r="NMC79" s="278" t="inlineStr"/>
      <c r="NMD79" s="278" t="inlineStr"/>
      <c r="NME79" s="278" t="inlineStr"/>
      <c r="NMF79" s="278" t="inlineStr"/>
      <c r="NMG79" s="278" t="inlineStr"/>
      <c r="NMH79" s="278" t="inlineStr"/>
      <c r="NMI79" s="278" t="inlineStr"/>
      <c r="NMJ79" s="278" t="inlineStr"/>
      <c r="NMK79" s="278" t="inlineStr"/>
      <c r="NML79" s="278" t="inlineStr"/>
      <c r="NMM79" s="278" t="inlineStr"/>
      <c r="NMN79" s="278" t="inlineStr"/>
      <c r="NMO79" s="278" t="inlineStr"/>
      <c r="NMP79" s="278" t="inlineStr"/>
      <c r="NMQ79" s="278" t="inlineStr"/>
      <c r="NMR79" s="278" t="inlineStr"/>
      <c r="NMS79" s="278" t="inlineStr"/>
      <c r="NMT79" s="278" t="inlineStr"/>
      <c r="NMU79" s="278" t="inlineStr"/>
      <c r="NMV79" s="278" t="inlineStr"/>
      <c r="NMW79" s="278" t="inlineStr"/>
      <c r="NMX79" s="278" t="inlineStr"/>
      <c r="NMY79" s="278" t="inlineStr"/>
      <c r="NMZ79" s="278" t="inlineStr"/>
      <c r="NNA79" s="278" t="inlineStr"/>
      <c r="NNB79" s="278" t="inlineStr"/>
      <c r="NNC79" s="278" t="inlineStr"/>
      <c r="NND79" s="278" t="inlineStr"/>
      <c r="NNE79" s="278" t="inlineStr"/>
      <c r="NNF79" s="278" t="inlineStr"/>
      <c r="NNG79" s="278" t="inlineStr"/>
      <c r="NNH79" s="278" t="inlineStr"/>
      <c r="NNI79" s="278" t="inlineStr"/>
      <c r="NNJ79" s="278" t="inlineStr"/>
      <c r="NNK79" s="278" t="inlineStr"/>
      <c r="NNL79" s="278" t="inlineStr"/>
      <c r="NNM79" s="278" t="inlineStr"/>
      <c r="NNN79" s="278" t="inlineStr"/>
      <c r="NNO79" s="278" t="inlineStr"/>
      <c r="NNP79" s="278" t="inlineStr"/>
      <c r="NNQ79" s="278" t="inlineStr"/>
      <c r="NNR79" s="278" t="inlineStr"/>
      <c r="NNS79" s="278" t="inlineStr"/>
      <c r="NNT79" s="278" t="inlineStr"/>
      <c r="NNU79" s="278" t="inlineStr"/>
      <c r="NNV79" s="278" t="inlineStr"/>
      <c r="NNW79" s="278" t="inlineStr"/>
      <c r="NNX79" s="278" t="inlineStr"/>
      <c r="NNY79" s="278" t="inlineStr"/>
      <c r="NNZ79" s="278" t="inlineStr"/>
      <c r="NOA79" s="278" t="inlineStr"/>
      <c r="NOB79" s="278" t="inlineStr"/>
      <c r="NOC79" s="278" t="inlineStr"/>
      <c r="NOD79" s="278" t="inlineStr"/>
      <c r="NOE79" s="278" t="inlineStr"/>
      <c r="NOF79" s="278" t="inlineStr"/>
      <c r="NOG79" s="278" t="inlineStr"/>
      <c r="NOH79" s="278" t="inlineStr"/>
      <c r="NOI79" s="278" t="inlineStr"/>
      <c r="NOJ79" s="278" t="inlineStr"/>
      <c r="NOK79" s="278" t="inlineStr"/>
      <c r="NOL79" s="278" t="inlineStr"/>
      <c r="NOM79" s="278" t="inlineStr"/>
      <c r="NON79" s="278" t="inlineStr"/>
      <c r="NOO79" s="278" t="inlineStr"/>
      <c r="NOP79" s="278" t="inlineStr"/>
      <c r="NOQ79" s="278" t="inlineStr"/>
      <c r="NOR79" s="278" t="inlineStr"/>
      <c r="NOS79" s="278" t="inlineStr"/>
      <c r="NOT79" s="278" t="inlineStr"/>
      <c r="NOU79" s="278" t="inlineStr"/>
      <c r="NOV79" s="278" t="inlineStr"/>
      <c r="NOW79" s="278" t="inlineStr"/>
      <c r="NOX79" s="278" t="inlineStr"/>
      <c r="NOY79" s="278" t="inlineStr"/>
      <c r="NOZ79" s="278" t="inlineStr"/>
      <c r="NPA79" s="278" t="inlineStr"/>
      <c r="NPB79" s="278" t="inlineStr"/>
      <c r="NPC79" s="278" t="inlineStr"/>
      <c r="NPD79" s="278" t="inlineStr"/>
      <c r="NPE79" s="278" t="inlineStr"/>
      <c r="NPF79" s="278" t="inlineStr"/>
      <c r="NPG79" s="278" t="inlineStr"/>
      <c r="NPH79" s="278" t="inlineStr"/>
      <c r="NPI79" s="278" t="inlineStr"/>
      <c r="NPJ79" s="278" t="inlineStr"/>
      <c r="NPK79" s="278" t="inlineStr"/>
      <c r="NPL79" s="278" t="inlineStr"/>
      <c r="NPM79" s="278" t="inlineStr"/>
      <c r="NPN79" s="278" t="inlineStr"/>
      <c r="NPO79" s="278" t="inlineStr"/>
      <c r="NPP79" s="278" t="inlineStr"/>
      <c r="NPQ79" s="278" t="inlineStr"/>
      <c r="NPR79" s="278" t="inlineStr"/>
      <c r="NPS79" s="278" t="inlineStr"/>
      <c r="NPT79" s="278" t="inlineStr"/>
      <c r="NPU79" s="278" t="inlineStr"/>
      <c r="NPV79" s="278" t="inlineStr"/>
      <c r="NPW79" s="278" t="inlineStr"/>
      <c r="NPX79" s="278" t="inlineStr"/>
      <c r="NPY79" s="278" t="inlineStr"/>
      <c r="NPZ79" s="278" t="inlineStr"/>
      <c r="NQA79" s="278" t="inlineStr"/>
      <c r="NQB79" s="278" t="inlineStr"/>
      <c r="NQC79" s="278" t="inlineStr"/>
      <c r="NQD79" s="278" t="inlineStr"/>
      <c r="NQE79" s="278" t="inlineStr"/>
      <c r="NQF79" s="278" t="inlineStr"/>
      <c r="NQG79" s="278" t="inlineStr"/>
      <c r="NQH79" s="278" t="inlineStr"/>
      <c r="NQI79" s="278" t="inlineStr"/>
      <c r="NQJ79" s="278" t="inlineStr"/>
      <c r="NQK79" s="278" t="inlineStr"/>
      <c r="NQL79" s="278" t="inlineStr"/>
      <c r="NQM79" s="278" t="inlineStr"/>
      <c r="NQN79" s="278" t="inlineStr"/>
      <c r="NQO79" s="278" t="inlineStr"/>
      <c r="NQP79" s="278" t="inlineStr"/>
      <c r="NQQ79" s="278" t="inlineStr"/>
      <c r="NQR79" s="278" t="inlineStr"/>
      <c r="NQS79" s="278" t="inlineStr"/>
      <c r="NQT79" s="278" t="inlineStr"/>
      <c r="NQU79" s="278" t="inlineStr"/>
      <c r="NQV79" s="278" t="inlineStr"/>
      <c r="NQW79" s="278" t="inlineStr"/>
      <c r="NQX79" s="278" t="inlineStr"/>
      <c r="NQY79" s="278" t="inlineStr"/>
      <c r="NQZ79" s="278" t="inlineStr"/>
      <c r="NRA79" s="278" t="inlineStr"/>
      <c r="NRB79" s="278" t="inlineStr"/>
      <c r="NRC79" s="278" t="inlineStr"/>
      <c r="NRD79" s="278" t="inlineStr"/>
      <c r="NRE79" s="278" t="inlineStr"/>
      <c r="NRF79" s="278" t="inlineStr"/>
      <c r="NRG79" s="278" t="inlineStr"/>
      <c r="NRH79" s="278" t="inlineStr"/>
      <c r="NRI79" s="278" t="inlineStr"/>
      <c r="NRJ79" s="278" t="inlineStr"/>
      <c r="NRK79" s="278" t="inlineStr"/>
      <c r="NRL79" s="278" t="inlineStr"/>
      <c r="NRM79" s="278" t="inlineStr"/>
      <c r="NRN79" s="278" t="inlineStr"/>
      <c r="NRO79" s="278" t="inlineStr"/>
      <c r="NRP79" s="278" t="inlineStr"/>
      <c r="NRQ79" s="278" t="inlineStr"/>
      <c r="NRR79" s="278" t="inlineStr"/>
      <c r="NRS79" s="278" t="inlineStr"/>
      <c r="NRT79" s="278" t="inlineStr"/>
      <c r="NRU79" s="278" t="inlineStr"/>
      <c r="NRV79" s="278" t="inlineStr"/>
      <c r="NRW79" s="278" t="inlineStr"/>
      <c r="NRX79" s="278" t="inlineStr"/>
      <c r="NRY79" s="278" t="inlineStr"/>
      <c r="NRZ79" s="278" t="inlineStr"/>
      <c r="NSA79" s="278" t="inlineStr"/>
      <c r="NSB79" s="278" t="inlineStr"/>
      <c r="NSC79" s="278" t="inlineStr"/>
      <c r="NSD79" s="278" t="inlineStr"/>
      <c r="NSE79" s="278" t="inlineStr"/>
      <c r="NSF79" s="278" t="inlineStr"/>
      <c r="NSG79" s="278" t="inlineStr"/>
      <c r="NSH79" s="278" t="inlineStr"/>
      <c r="NSI79" s="278" t="inlineStr"/>
      <c r="NSJ79" s="278" t="inlineStr"/>
      <c r="NSK79" s="278" t="inlineStr"/>
      <c r="NSL79" s="278" t="inlineStr"/>
      <c r="NSM79" s="278" t="inlineStr"/>
      <c r="NSN79" s="278" t="inlineStr"/>
      <c r="NSO79" s="278" t="inlineStr"/>
      <c r="NSP79" s="278" t="inlineStr"/>
      <c r="NSQ79" s="278" t="inlineStr"/>
      <c r="NSR79" s="278" t="inlineStr"/>
      <c r="NSS79" s="278" t="inlineStr"/>
      <c r="NST79" s="278" t="inlineStr"/>
      <c r="NSU79" s="278" t="inlineStr"/>
      <c r="NSV79" s="278" t="inlineStr"/>
      <c r="NSW79" s="278" t="inlineStr"/>
      <c r="NSX79" s="278" t="inlineStr"/>
      <c r="NSY79" s="278" t="inlineStr"/>
      <c r="NSZ79" s="278" t="inlineStr"/>
      <c r="NTA79" s="278" t="inlineStr"/>
      <c r="NTB79" s="278" t="inlineStr"/>
      <c r="NTC79" s="278" t="inlineStr"/>
      <c r="NTD79" s="278" t="inlineStr"/>
      <c r="NTE79" s="278" t="inlineStr"/>
      <c r="NTF79" s="278" t="inlineStr"/>
      <c r="NTG79" s="278" t="inlineStr"/>
      <c r="NTH79" s="278" t="inlineStr"/>
      <c r="NTI79" s="278" t="inlineStr"/>
      <c r="NTJ79" s="278" t="inlineStr"/>
      <c r="NTK79" s="278" t="inlineStr"/>
      <c r="NTL79" s="278" t="inlineStr"/>
      <c r="NTM79" s="278" t="inlineStr"/>
      <c r="NTN79" s="278" t="inlineStr"/>
      <c r="NTO79" s="278" t="inlineStr"/>
      <c r="NTP79" s="278" t="inlineStr"/>
      <c r="NTQ79" s="278" t="inlineStr"/>
      <c r="NTR79" s="278" t="inlineStr"/>
      <c r="NTS79" s="278" t="inlineStr"/>
      <c r="NTT79" s="278" t="inlineStr"/>
      <c r="NTU79" s="278" t="inlineStr"/>
      <c r="NTV79" s="278" t="inlineStr"/>
      <c r="NTW79" s="278" t="inlineStr"/>
      <c r="NTX79" s="278" t="inlineStr"/>
      <c r="NTY79" s="278" t="inlineStr"/>
      <c r="NTZ79" s="278" t="inlineStr"/>
      <c r="NUA79" s="278" t="inlineStr"/>
      <c r="NUB79" s="278" t="inlineStr"/>
      <c r="NUC79" s="278" t="inlineStr"/>
      <c r="NUD79" s="278" t="inlineStr"/>
      <c r="NUE79" s="278" t="inlineStr"/>
      <c r="NUF79" s="278" t="inlineStr"/>
      <c r="NUG79" s="278" t="inlineStr"/>
      <c r="NUH79" s="278" t="inlineStr"/>
      <c r="NUI79" s="278" t="inlineStr"/>
      <c r="NUJ79" s="278" t="inlineStr"/>
      <c r="NUK79" s="278" t="inlineStr"/>
      <c r="NUL79" s="278" t="inlineStr"/>
      <c r="NUM79" s="278" t="inlineStr"/>
      <c r="NUN79" s="278" t="inlineStr"/>
      <c r="NUO79" s="278" t="inlineStr"/>
      <c r="NUP79" s="278" t="inlineStr"/>
      <c r="NUQ79" s="278" t="inlineStr"/>
      <c r="NUR79" s="278" t="inlineStr"/>
      <c r="NUS79" s="278" t="inlineStr"/>
      <c r="NUT79" s="278" t="inlineStr"/>
      <c r="NUU79" s="278" t="inlineStr"/>
      <c r="NUV79" s="278" t="inlineStr"/>
      <c r="NUW79" s="278" t="inlineStr"/>
      <c r="NUX79" s="278" t="inlineStr"/>
      <c r="NUY79" s="278" t="inlineStr"/>
      <c r="NUZ79" s="278" t="inlineStr"/>
      <c r="NVA79" s="278" t="inlineStr"/>
      <c r="NVB79" s="278" t="inlineStr"/>
      <c r="NVC79" s="278" t="inlineStr"/>
      <c r="NVD79" s="278" t="inlineStr"/>
      <c r="NVE79" s="278" t="inlineStr"/>
      <c r="NVF79" s="278" t="inlineStr"/>
      <c r="NVG79" s="278" t="inlineStr"/>
      <c r="NVH79" s="278" t="inlineStr"/>
      <c r="NVI79" s="278" t="inlineStr"/>
      <c r="NVJ79" s="278" t="inlineStr"/>
      <c r="NVK79" s="278" t="inlineStr"/>
      <c r="NVL79" s="278" t="inlineStr"/>
      <c r="NVM79" s="278" t="inlineStr"/>
      <c r="NVN79" s="278" t="inlineStr"/>
      <c r="NVO79" s="278" t="inlineStr"/>
      <c r="NVP79" s="278" t="inlineStr"/>
      <c r="NVQ79" s="278" t="inlineStr"/>
      <c r="NVR79" s="278" t="inlineStr"/>
      <c r="NVS79" s="278" t="inlineStr"/>
      <c r="NVT79" s="278" t="inlineStr"/>
      <c r="NVU79" s="278" t="inlineStr"/>
      <c r="NVV79" s="278" t="inlineStr"/>
      <c r="NVW79" s="278" t="inlineStr"/>
      <c r="NVX79" s="278" t="inlineStr"/>
      <c r="NVY79" s="278" t="inlineStr"/>
      <c r="NVZ79" s="278" t="inlineStr"/>
      <c r="NWA79" s="278" t="inlineStr"/>
      <c r="NWB79" s="278" t="inlineStr"/>
      <c r="NWC79" s="278" t="inlineStr"/>
      <c r="NWD79" s="278" t="inlineStr"/>
      <c r="NWE79" s="278" t="inlineStr"/>
      <c r="NWF79" s="278" t="inlineStr"/>
      <c r="NWG79" s="278" t="inlineStr"/>
      <c r="NWH79" s="278" t="inlineStr"/>
      <c r="NWI79" s="278" t="inlineStr"/>
      <c r="NWJ79" s="278" t="inlineStr"/>
      <c r="NWK79" s="278" t="inlineStr"/>
      <c r="NWL79" s="278" t="inlineStr"/>
      <c r="NWM79" s="278" t="inlineStr"/>
      <c r="NWN79" s="278" t="inlineStr"/>
      <c r="NWO79" s="278" t="inlineStr"/>
      <c r="NWP79" s="278" t="inlineStr"/>
      <c r="NWQ79" s="278" t="inlineStr"/>
      <c r="NWR79" s="278" t="inlineStr"/>
      <c r="NWS79" s="278" t="inlineStr"/>
      <c r="NWT79" s="278" t="inlineStr"/>
      <c r="NWU79" s="278" t="inlineStr"/>
      <c r="NWV79" s="278" t="inlineStr"/>
      <c r="NWW79" s="278" t="inlineStr"/>
      <c r="NWX79" s="278" t="inlineStr"/>
      <c r="NWY79" s="278" t="inlineStr"/>
      <c r="NWZ79" s="278" t="inlineStr"/>
      <c r="NXA79" s="278" t="inlineStr"/>
      <c r="NXB79" s="278" t="inlineStr"/>
      <c r="NXC79" s="278" t="inlineStr"/>
      <c r="NXD79" s="278" t="inlineStr"/>
      <c r="NXE79" s="278" t="inlineStr"/>
      <c r="NXF79" s="278" t="inlineStr"/>
      <c r="NXG79" s="278" t="inlineStr"/>
      <c r="NXH79" s="278" t="inlineStr"/>
      <c r="NXI79" s="278" t="inlineStr"/>
      <c r="NXJ79" s="278" t="inlineStr"/>
      <c r="NXK79" s="278" t="inlineStr"/>
      <c r="NXL79" s="278" t="inlineStr"/>
      <c r="NXM79" s="278" t="inlineStr"/>
      <c r="NXN79" s="278" t="inlineStr"/>
      <c r="NXO79" s="278" t="inlineStr"/>
      <c r="NXP79" s="278" t="inlineStr"/>
      <c r="NXQ79" s="278" t="inlineStr"/>
      <c r="NXR79" s="278" t="inlineStr"/>
      <c r="NXS79" s="278" t="inlineStr"/>
      <c r="NXT79" s="278" t="inlineStr"/>
      <c r="NXU79" s="278" t="inlineStr"/>
      <c r="NXV79" s="278" t="inlineStr"/>
      <c r="NXW79" s="278" t="inlineStr"/>
      <c r="NXX79" s="278" t="inlineStr"/>
      <c r="NXY79" s="278" t="inlineStr"/>
      <c r="NXZ79" s="278" t="inlineStr"/>
      <c r="NYA79" s="278" t="inlineStr"/>
      <c r="NYB79" s="278" t="inlineStr"/>
      <c r="NYC79" s="278" t="inlineStr"/>
      <c r="NYD79" s="278" t="inlineStr"/>
      <c r="NYE79" s="278" t="inlineStr"/>
      <c r="NYF79" s="278" t="inlineStr"/>
      <c r="NYG79" s="278" t="inlineStr"/>
      <c r="NYH79" s="278" t="inlineStr"/>
      <c r="NYI79" s="278" t="inlineStr"/>
      <c r="NYJ79" s="278" t="inlineStr"/>
      <c r="NYK79" s="278" t="inlineStr"/>
      <c r="NYL79" s="278" t="inlineStr"/>
      <c r="NYM79" s="278" t="inlineStr"/>
      <c r="NYN79" s="278" t="inlineStr"/>
      <c r="NYO79" s="278" t="inlineStr"/>
      <c r="NYP79" s="278" t="inlineStr"/>
      <c r="NYQ79" s="278" t="inlineStr"/>
      <c r="NYR79" s="278" t="inlineStr"/>
      <c r="NYS79" s="278" t="inlineStr"/>
      <c r="NYT79" s="278" t="inlineStr"/>
      <c r="NYU79" s="278" t="inlineStr"/>
      <c r="NYV79" s="278" t="inlineStr"/>
      <c r="NYW79" s="278" t="inlineStr"/>
      <c r="NYX79" s="278" t="inlineStr"/>
      <c r="NYY79" s="278" t="inlineStr"/>
      <c r="NYZ79" s="278" t="inlineStr"/>
      <c r="NZA79" s="278" t="inlineStr"/>
      <c r="NZB79" s="278" t="inlineStr"/>
      <c r="NZC79" s="278" t="inlineStr"/>
      <c r="NZD79" s="278" t="inlineStr"/>
      <c r="NZE79" s="278" t="inlineStr"/>
      <c r="NZF79" s="278" t="inlineStr"/>
      <c r="NZG79" s="278" t="inlineStr"/>
      <c r="NZH79" s="278" t="inlineStr"/>
      <c r="NZI79" s="278" t="inlineStr"/>
      <c r="NZJ79" s="278" t="inlineStr"/>
      <c r="NZK79" s="278" t="inlineStr"/>
      <c r="NZL79" s="278" t="inlineStr"/>
      <c r="NZM79" s="278" t="inlineStr"/>
      <c r="NZN79" s="278" t="inlineStr"/>
      <c r="NZO79" s="278" t="inlineStr"/>
      <c r="NZP79" s="278" t="inlineStr"/>
      <c r="NZQ79" s="278" t="inlineStr"/>
      <c r="NZR79" s="278" t="inlineStr"/>
      <c r="NZS79" s="278" t="inlineStr"/>
      <c r="NZT79" s="278" t="inlineStr"/>
      <c r="NZU79" s="278" t="inlineStr"/>
      <c r="NZV79" s="278" t="inlineStr"/>
      <c r="NZW79" s="278" t="inlineStr"/>
      <c r="NZX79" s="278" t="inlineStr"/>
      <c r="NZY79" s="278" t="inlineStr"/>
      <c r="NZZ79" s="278" t="inlineStr"/>
      <c r="OAA79" s="278" t="inlineStr"/>
      <c r="OAB79" s="278" t="inlineStr"/>
      <c r="OAC79" s="278" t="inlineStr"/>
      <c r="OAD79" s="278" t="inlineStr"/>
      <c r="OAE79" s="278" t="inlineStr"/>
      <c r="OAF79" s="278" t="inlineStr"/>
      <c r="OAG79" s="278" t="inlineStr"/>
      <c r="OAH79" s="278" t="inlineStr"/>
      <c r="OAI79" s="278" t="inlineStr"/>
      <c r="OAJ79" s="278" t="inlineStr"/>
      <c r="OAK79" s="278" t="inlineStr"/>
      <c r="OAL79" s="278" t="inlineStr"/>
      <c r="OAM79" s="278" t="inlineStr"/>
      <c r="OAN79" s="278" t="inlineStr"/>
      <c r="OAO79" s="278" t="inlineStr"/>
      <c r="OAP79" s="278" t="inlineStr"/>
      <c r="OAQ79" s="278" t="inlineStr"/>
      <c r="OAR79" s="278" t="inlineStr"/>
      <c r="OAS79" s="278" t="inlineStr"/>
      <c r="OAT79" s="278" t="inlineStr"/>
      <c r="OAU79" s="278" t="inlineStr"/>
      <c r="OAV79" s="278" t="inlineStr"/>
      <c r="OAW79" s="278" t="inlineStr"/>
      <c r="OAX79" s="278" t="inlineStr"/>
      <c r="OAY79" s="278" t="inlineStr"/>
      <c r="OAZ79" s="278" t="inlineStr"/>
      <c r="OBA79" s="278" t="inlineStr"/>
      <c r="OBB79" s="278" t="inlineStr"/>
      <c r="OBC79" s="278" t="inlineStr"/>
      <c r="OBD79" s="278" t="inlineStr"/>
      <c r="OBE79" s="278" t="inlineStr"/>
      <c r="OBF79" s="278" t="inlineStr"/>
      <c r="OBG79" s="278" t="inlineStr"/>
      <c r="OBH79" s="278" t="inlineStr"/>
      <c r="OBI79" s="278" t="inlineStr"/>
      <c r="OBJ79" s="278" t="inlineStr"/>
      <c r="OBK79" s="278" t="inlineStr"/>
      <c r="OBL79" s="278" t="inlineStr"/>
      <c r="OBM79" s="278" t="inlineStr"/>
      <c r="OBN79" s="278" t="inlineStr"/>
      <c r="OBO79" s="278" t="inlineStr"/>
      <c r="OBP79" s="278" t="inlineStr"/>
      <c r="OBQ79" s="278" t="inlineStr"/>
      <c r="OBR79" s="278" t="inlineStr"/>
      <c r="OBS79" s="278" t="inlineStr"/>
      <c r="OBT79" s="278" t="inlineStr"/>
      <c r="OBU79" s="278" t="inlineStr"/>
      <c r="OBV79" s="278" t="inlineStr"/>
      <c r="OBW79" s="278" t="inlineStr"/>
      <c r="OBX79" s="278" t="inlineStr"/>
      <c r="OBY79" s="278" t="inlineStr"/>
      <c r="OBZ79" s="278" t="inlineStr"/>
      <c r="OCA79" s="278" t="inlineStr"/>
      <c r="OCB79" s="278" t="inlineStr"/>
      <c r="OCC79" s="278" t="inlineStr"/>
      <c r="OCD79" s="278" t="inlineStr"/>
      <c r="OCE79" s="278" t="inlineStr"/>
      <c r="OCF79" s="278" t="inlineStr"/>
      <c r="OCG79" s="278" t="inlineStr"/>
      <c r="OCH79" s="278" t="inlineStr"/>
      <c r="OCI79" s="278" t="inlineStr"/>
      <c r="OCJ79" s="278" t="inlineStr"/>
      <c r="OCK79" s="278" t="inlineStr"/>
      <c r="OCL79" s="278" t="inlineStr"/>
      <c r="OCM79" s="278" t="inlineStr"/>
      <c r="OCN79" s="278" t="inlineStr"/>
      <c r="OCO79" s="278" t="inlineStr"/>
      <c r="OCP79" s="278" t="inlineStr"/>
      <c r="OCQ79" s="278" t="inlineStr"/>
      <c r="OCR79" s="278" t="inlineStr"/>
      <c r="OCS79" s="278" t="inlineStr"/>
      <c r="OCT79" s="278" t="inlineStr"/>
      <c r="OCU79" s="278" t="inlineStr"/>
      <c r="OCV79" s="278" t="inlineStr"/>
      <c r="OCW79" s="278" t="inlineStr"/>
      <c r="OCX79" s="278" t="inlineStr"/>
      <c r="OCY79" s="278" t="inlineStr"/>
      <c r="OCZ79" s="278" t="inlineStr"/>
      <c r="ODA79" s="278" t="inlineStr"/>
      <c r="ODB79" s="278" t="inlineStr"/>
      <c r="ODC79" s="278" t="inlineStr"/>
      <c r="ODD79" s="278" t="inlineStr"/>
      <c r="ODE79" s="278" t="inlineStr"/>
      <c r="ODF79" s="278" t="inlineStr"/>
      <c r="ODG79" s="278" t="inlineStr"/>
      <c r="ODH79" s="278" t="inlineStr"/>
      <c r="ODI79" s="278" t="inlineStr"/>
      <c r="ODJ79" s="278" t="inlineStr"/>
      <c r="ODK79" s="278" t="inlineStr"/>
      <c r="ODL79" s="278" t="inlineStr"/>
      <c r="ODM79" s="278" t="inlineStr"/>
      <c r="ODN79" s="278" t="inlineStr"/>
      <c r="ODO79" s="278" t="inlineStr"/>
      <c r="ODP79" s="278" t="inlineStr"/>
      <c r="ODQ79" s="278" t="inlineStr"/>
      <c r="ODR79" s="278" t="inlineStr"/>
      <c r="ODS79" s="278" t="inlineStr"/>
      <c r="ODT79" s="278" t="inlineStr"/>
      <c r="ODU79" s="278" t="inlineStr"/>
      <c r="ODV79" s="278" t="inlineStr"/>
      <c r="ODW79" s="278" t="inlineStr"/>
      <c r="ODX79" s="278" t="inlineStr"/>
      <c r="ODY79" s="278" t="inlineStr"/>
      <c r="ODZ79" s="278" t="inlineStr"/>
      <c r="OEA79" s="278" t="inlineStr"/>
      <c r="OEB79" s="278" t="inlineStr"/>
      <c r="OEC79" s="278" t="inlineStr"/>
      <c r="OED79" s="278" t="inlineStr"/>
      <c r="OEE79" s="278" t="inlineStr"/>
      <c r="OEF79" s="278" t="inlineStr"/>
      <c r="OEG79" s="278" t="inlineStr"/>
      <c r="OEH79" s="278" t="inlineStr"/>
      <c r="OEI79" s="278" t="inlineStr"/>
      <c r="OEJ79" s="278" t="inlineStr"/>
      <c r="OEK79" s="278" t="inlineStr"/>
      <c r="OEL79" s="278" t="inlineStr"/>
      <c r="OEM79" s="278" t="inlineStr"/>
      <c r="OEN79" s="278" t="inlineStr"/>
      <c r="OEO79" s="278" t="inlineStr"/>
      <c r="OEP79" s="278" t="inlineStr"/>
      <c r="OEQ79" s="278" t="inlineStr"/>
      <c r="OER79" s="278" t="inlineStr"/>
      <c r="OES79" s="278" t="inlineStr"/>
      <c r="OET79" s="278" t="inlineStr"/>
      <c r="OEU79" s="278" t="inlineStr"/>
      <c r="OEV79" s="278" t="inlineStr"/>
      <c r="OEW79" s="278" t="inlineStr"/>
      <c r="OEX79" s="278" t="inlineStr"/>
      <c r="OEY79" s="278" t="inlineStr"/>
      <c r="OEZ79" s="278" t="inlineStr"/>
      <c r="OFA79" s="278" t="inlineStr"/>
      <c r="OFB79" s="278" t="inlineStr"/>
      <c r="OFC79" s="278" t="inlineStr"/>
      <c r="OFD79" s="278" t="inlineStr"/>
      <c r="OFE79" s="278" t="inlineStr"/>
      <c r="OFF79" s="278" t="inlineStr"/>
      <c r="OFG79" s="278" t="inlineStr"/>
      <c r="OFH79" s="278" t="inlineStr"/>
      <c r="OFI79" s="278" t="inlineStr"/>
      <c r="OFJ79" s="278" t="inlineStr"/>
      <c r="OFK79" s="278" t="inlineStr"/>
      <c r="OFL79" s="278" t="inlineStr"/>
      <c r="OFM79" s="278" t="inlineStr"/>
      <c r="OFN79" s="278" t="inlineStr"/>
      <c r="OFO79" s="278" t="inlineStr"/>
      <c r="OFP79" s="278" t="inlineStr"/>
      <c r="OFQ79" s="278" t="inlineStr"/>
      <c r="OFR79" s="278" t="inlineStr"/>
      <c r="OFS79" s="278" t="inlineStr"/>
      <c r="OFT79" s="278" t="inlineStr"/>
      <c r="OFU79" s="278" t="inlineStr"/>
      <c r="OFV79" s="278" t="inlineStr"/>
      <c r="OFW79" s="278" t="inlineStr"/>
      <c r="OFX79" s="278" t="inlineStr"/>
      <c r="OFY79" s="278" t="inlineStr"/>
      <c r="OFZ79" s="278" t="inlineStr"/>
      <c r="OGA79" s="278" t="inlineStr"/>
      <c r="OGB79" s="278" t="inlineStr"/>
      <c r="OGC79" s="278" t="inlineStr"/>
      <c r="OGD79" s="278" t="inlineStr"/>
      <c r="OGE79" s="278" t="inlineStr"/>
      <c r="OGF79" s="278" t="inlineStr"/>
      <c r="OGG79" s="278" t="inlineStr"/>
      <c r="OGH79" s="278" t="inlineStr"/>
      <c r="OGI79" s="278" t="inlineStr"/>
      <c r="OGJ79" s="278" t="inlineStr"/>
      <c r="OGK79" s="278" t="inlineStr"/>
      <c r="OGL79" s="278" t="inlineStr"/>
      <c r="OGM79" s="278" t="inlineStr"/>
      <c r="OGN79" s="278" t="inlineStr"/>
      <c r="OGO79" s="278" t="inlineStr"/>
      <c r="OGP79" s="278" t="inlineStr"/>
      <c r="OGQ79" s="278" t="inlineStr"/>
      <c r="OGR79" s="278" t="inlineStr"/>
      <c r="OGS79" s="278" t="inlineStr"/>
      <c r="OGT79" s="278" t="inlineStr"/>
      <c r="OGU79" s="278" t="inlineStr"/>
      <c r="OGV79" s="278" t="inlineStr"/>
      <c r="OGW79" s="278" t="inlineStr"/>
      <c r="OGX79" s="278" t="inlineStr"/>
      <c r="OGY79" s="278" t="inlineStr"/>
      <c r="OGZ79" s="278" t="inlineStr"/>
      <c r="OHA79" s="278" t="inlineStr"/>
      <c r="OHB79" s="278" t="inlineStr"/>
      <c r="OHC79" s="278" t="inlineStr"/>
      <c r="OHD79" s="278" t="inlineStr"/>
      <c r="OHE79" s="278" t="inlineStr"/>
      <c r="OHF79" s="278" t="inlineStr"/>
      <c r="OHG79" s="278" t="inlineStr"/>
      <c r="OHH79" s="278" t="inlineStr"/>
      <c r="OHI79" s="278" t="inlineStr"/>
      <c r="OHJ79" s="278" t="inlineStr"/>
      <c r="OHK79" s="278" t="inlineStr"/>
      <c r="OHL79" s="278" t="inlineStr"/>
      <c r="OHM79" s="278" t="inlineStr"/>
      <c r="OHN79" s="278" t="inlineStr"/>
      <c r="OHO79" s="278" t="inlineStr"/>
      <c r="OHP79" s="278" t="inlineStr"/>
      <c r="OHQ79" s="278" t="inlineStr"/>
      <c r="OHR79" s="278" t="inlineStr"/>
      <c r="OHS79" s="278" t="inlineStr"/>
      <c r="OHT79" s="278" t="inlineStr"/>
      <c r="OHU79" s="278" t="inlineStr"/>
      <c r="OHV79" s="278" t="inlineStr"/>
      <c r="OHW79" s="278" t="inlineStr"/>
      <c r="OHX79" s="278" t="inlineStr"/>
      <c r="OHY79" s="278" t="inlineStr"/>
      <c r="OHZ79" s="278" t="inlineStr"/>
      <c r="OIA79" s="278" t="inlineStr"/>
      <c r="OIB79" s="278" t="inlineStr"/>
      <c r="OIC79" s="278" t="inlineStr"/>
      <c r="OID79" s="278" t="inlineStr"/>
      <c r="OIE79" s="278" t="inlineStr"/>
      <c r="OIF79" s="278" t="inlineStr"/>
      <c r="OIG79" s="278" t="inlineStr"/>
      <c r="OIH79" s="278" t="inlineStr"/>
      <c r="OII79" s="278" t="inlineStr"/>
      <c r="OIJ79" s="278" t="inlineStr"/>
      <c r="OIK79" s="278" t="inlineStr"/>
      <c r="OIL79" s="278" t="inlineStr"/>
      <c r="OIM79" s="278" t="inlineStr"/>
      <c r="OIN79" s="278" t="inlineStr"/>
      <c r="OIO79" s="278" t="inlineStr"/>
      <c r="OIP79" s="278" t="inlineStr"/>
      <c r="OIQ79" s="278" t="inlineStr"/>
      <c r="OIR79" s="278" t="inlineStr"/>
      <c r="OIS79" s="278" t="inlineStr"/>
      <c r="OIT79" s="278" t="inlineStr"/>
      <c r="OIU79" s="278" t="inlineStr"/>
      <c r="OIV79" s="278" t="inlineStr"/>
      <c r="OIW79" s="278" t="inlineStr"/>
      <c r="OIX79" s="278" t="inlineStr"/>
      <c r="OIY79" s="278" t="inlineStr"/>
      <c r="OIZ79" s="278" t="inlineStr"/>
      <c r="OJA79" s="278" t="inlineStr"/>
      <c r="OJB79" s="278" t="inlineStr"/>
      <c r="OJC79" s="278" t="inlineStr"/>
      <c r="OJD79" s="278" t="inlineStr"/>
      <c r="OJE79" s="278" t="inlineStr"/>
      <c r="OJF79" s="278" t="inlineStr"/>
      <c r="OJG79" s="278" t="inlineStr"/>
      <c r="OJH79" s="278" t="inlineStr"/>
      <c r="OJI79" s="278" t="inlineStr"/>
      <c r="OJJ79" s="278" t="inlineStr"/>
      <c r="OJK79" s="278" t="inlineStr"/>
      <c r="OJL79" s="278" t="inlineStr"/>
      <c r="OJM79" s="278" t="inlineStr"/>
      <c r="OJN79" s="278" t="inlineStr"/>
      <c r="OJO79" s="278" t="inlineStr"/>
      <c r="OJP79" s="278" t="inlineStr"/>
      <c r="OJQ79" s="278" t="inlineStr"/>
      <c r="OJR79" s="278" t="inlineStr"/>
      <c r="OJS79" s="278" t="inlineStr"/>
      <c r="OJT79" s="278" t="inlineStr"/>
      <c r="OJU79" s="278" t="inlineStr"/>
      <c r="OJV79" s="278" t="inlineStr"/>
      <c r="OJW79" s="278" t="inlineStr"/>
      <c r="OJX79" s="278" t="inlineStr"/>
      <c r="OJY79" s="278" t="inlineStr"/>
      <c r="OJZ79" s="278" t="inlineStr"/>
      <c r="OKA79" s="278" t="inlineStr"/>
      <c r="OKB79" s="278" t="inlineStr"/>
      <c r="OKC79" s="278" t="inlineStr"/>
      <c r="OKD79" s="278" t="inlineStr"/>
      <c r="OKE79" s="278" t="inlineStr"/>
      <c r="OKF79" s="278" t="inlineStr"/>
      <c r="OKG79" s="278" t="inlineStr"/>
      <c r="OKH79" s="278" t="inlineStr"/>
      <c r="OKI79" s="278" t="inlineStr"/>
      <c r="OKJ79" s="278" t="inlineStr"/>
      <c r="OKK79" s="278" t="inlineStr"/>
      <c r="OKL79" s="278" t="inlineStr"/>
      <c r="OKM79" s="278" t="inlineStr"/>
      <c r="OKN79" s="278" t="inlineStr"/>
      <c r="OKO79" s="278" t="inlineStr"/>
      <c r="OKP79" s="278" t="inlineStr"/>
      <c r="OKQ79" s="278" t="inlineStr"/>
      <c r="OKR79" s="278" t="inlineStr"/>
      <c r="OKS79" s="278" t="inlineStr"/>
      <c r="OKT79" s="278" t="inlineStr"/>
      <c r="OKU79" s="278" t="inlineStr"/>
      <c r="OKV79" s="278" t="inlineStr"/>
      <c r="OKW79" s="278" t="inlineStr"/>
      <c r="OKX79" s="278" t="inlineStr"/>
      <c r="OKY79" s="278" t="inlineStr"/>
      <c r="OKZ79" s="278" t="inlineStr"/>
      <c r="OLA79" s="278" t="inlineStr"/>
      <c r="OLB79" s="278" t="inlineStr"/>
      <c r="OLC79" s="278" t="inlineStr"/>
      <c r="OLD79" s="278" t="inlineStr"/>
      <c r="OLE79" s="278" t="inlineStr"/>
      <c r="OLF79" s="278" t="inlineStr"/>
      <c r="OLG79" s="278" t="inlineStr"/>
      <c r="OLH79" s="278" t="inlineStr"/>
      <c r="OLI79" s="278" t="inlineStr"/>
      <c r="OLJ79" s="278" t="inlineStr"/>
      <c r="OLK79" s="278" t="inlineStr"/>
      <c r="OLL79" s="278" t="inlineStr"/>
      <c r="OLM79" s="278" t="inlineStr"/>
      <c r="OLN79" s="278" t="inlineStr"/>
      <c r="OLO79" s="278" t="inlineStr"/>
      <c r="OLP79" s="278" t="inlineStr"/>
      <c r="OLQ79" s="278" t="inlineStr"/>
      <c r="OLR79" s="278" t="inlineStr"/>
      <c r="OLS79" s="278" t="inlineStr"/>
      <c r="OLT79" s="278" t="inlineStr"/>
      <c r="OLU79" s="278" t="inlineStr"/>
      <c r="OLV79" s="278" t="inlineStr"/>
      <c r="OLW79" s="278" t="inlineStr"/>
      <c r="OLX79" s="278" t="inlineStr"/>
      <c r="OLY79" s="278" t="inlineStr"/>
      <c r="OLZ79" s="278" t="inlineStr"/>
      <c r="OMA79" s="278" t="inlineStr"/>
      <c r="OMB79" s="278" t="inlineStr"/>
      <c r="OMC79" s="278" t="inlineStr"/>
      <c r="OMD79" s="278" t="inlineStr"/>
      <c r="OME79" s="278" t="inlineStr"/>
      <c r="OMF79" s="278" t="inlineStr"/>
      <c r="OMG79" s="278" t="inlineStr"/>
      <c r="OMH79" s="278" t="inlineStr"/>
      <c r="OMI79" s="278" t="inlineStr"/>
      <c r="OMJ79" s="278" t="inlineStr"/>
      <c r="OMK79" s="278" t="inlineStr"/>
      <c r="OML79" s="278" t="inlineStr"/>
      <c r="OMM79" s="278" t="inlineStr"/>
      <c r="OMN79" s="278" t="inlineStr"/>
      <c r="OMO79" s="278" t="inlineStr"/>
      <c r="OMP79" s="278" t="inlineStr"/>
      <c r="OMQ79" s="278" t="inlineStr"/>
      <c r="OMR79" s="278" t="inlineStr"/>
      <c r="OMS79" s="278" t="inlineStr"/>
      <c r="OMT79" s="278" t="inlineStr"/>
      <c r="OMU79" s="278" t="inlineStr"/>
      <c r="OMV79" s="278" t="inlineStr"/>
      <c r="OMW79" s="278" t="inlineStr"/>
      <c r="OMX79" s="278" t="inlineStr"/>
      <c r="OMY79" s="278" t="inlineStr"/>
      <c r="OMZ79" s="278" t="inlineStr"/>
      <c r="ONA79" s="278" t="inlineStr"/>
      <c r="ONB79" s="278" t="inlineStr"/>
      <c r="ONC79" s="278" t="inlineStr"/>
      <c r="OND79" s="278" t="inlineStr"/>
      <c r="ONE79" s="278" t="inlineStr"/>
      <c r="ONF79" s="278" t="inlineStr"/>
      <c r="ONG79" s="278" t="inlineStr"/>
      <c r="ONH79" s="278" t="inlineStr"/>
      <c r="ONI79" s="278" t="inlineStr"/>
      <c r="ONJ79" s="278" t="inlineStr"/>
      <c r="ONK79" s="278" t="inlineStr"/>
      <c r="ONL79" s="278" t="inlineStr"/>
      <c r="ONM79" s="278" t="inlineStr"/>
      <c r="ONN79" s="278" t="inlineStr"/>
      <c r="ONO79" s="278" t="inlineStr"/>
      <c r="ONP79" s="278" t="inlineStr"/>
      <c r="ONQ79" s="278" t="inlineStr"/>
      <c r="ONR79" s="278" t="inlineStr"/>
      <c r="ONS79" s="278" t="inlineStr"/>
      <c r="ONT79" s="278" t="inlineStr"/>
      <c r="ONU79" s="278" t="inlineStr"/>
      <c r="ONV79" s="278" t="inlineStr"/>
      <c r="ONW79" s="278" t="inlineStr"/>
      <c r="ONX79" s="278" t="inlineStr"/>
      <c r="ONY79" s="278" t="inlineStr"/>
      <c r="ONZ79" s="278" t="inlineStr"/>
      <c r="OOA79" s="278" t="inlineStr"/>
      <c r="OOB79" s="278" t="inlineStr"/>
      <c r="OOC79" s="278" t="inlineStr"/>
      <c r="OOD79" s="278" t="inlineStr"/>
      <c r="OOE79" s="278" t="inlineStr"/>
      <c r="OOF79" s="278" t="inlineStr"/>
      <c r="OOG79" s="278" t="inlineStr"/>
      <c r="OOH79" s="278" t="inlineStr"/>
      <c r="OOI79" s="278" t="inlineStr"/>
      <c r="OOJ79" s="278" t="inlineStr"/>
      <c r="OOK79" s="278" t="inlineStr"/>
      <c r="OOL79" s="278" t="inlineStr"/>
      <c r="OOM79" s="278" t="inlineStr"/>
      <c r="OON79" s="278" t="inlineStr"/>
      <c r="OOO79" s="278" t="inlineStr"/>
      <c r="OOP79" s="278" t="inlineStr"/>
      <c r="OOQ79" s="278" t="inlineStr"/>
      <c r="OOR79" s="278" t="inlineStr"/>
      <c r="OOS79" s="278" t="inlineStr"/>
      <c r="OOT79" s="278" t="inlineStr"/>
      <c r="OOU79" s="278" t="inlineStr"/>
      <c r="OOV79" s="278" t="inlineStr"/>
      <c r="OOW79" s="278" t="inlineStr"/>
      <c r="OOX79" s="278" t="inlineStr"/>
      <c r="OOY79" s="278" t="inlineStr"/>
      <c r="OOZ79" s="278" t="inlineStr"/>
      <c r="OPA79" s="278" t="inlineStr"/>
      <c r="OPB79" s="278" t="inlineStr"/>
      <c r="OPC79" s="278" t="inlineStr"/>
      <c r="OPD79" s="278" t="inlineStr"/>
      <c r="OPE79" s="278" t="inlineStr"/>
      <c r="OPF79" s="278" t="inlineStr"/>
      <c r="OPG79" s="278" t="inlineStr"/>
      <c r="OPH79" s="278" t="inlineStr"/>
      <c r="OPI79" s="278" t="inlineStr"/>
      <c r="OPJ79" s="278" t="inlineStr"/>
      <c r="OPK79" s="278" t="inlineStr"/>
      <c r="OPL79" s="278" t="inlineStr"/>
      <c r="OPM79" s="278" t="inlineStr"/>
      <c r="OPN79" s="278" t="inlineStr"/>
      <c r="OPO79" s="278" t="inlineStr"/>
      <c r="OPP79" s="278" t="inlineStr"/>
      <c r="OPQ79" s="278" t="inlineStr"/>
      <c r="OPR79" s="278" t="inlineStr"/>
      <c r="OPS79" s="278" t="inlineStr"/>
      <c r="OPT79" s="278" t="inlineStr"/>
      <c r="OPU79" s="278" t="inlineStr"/>
      <c r="OPV79" s="278" t="inlineStr"/>
      <c r="OPW79" s="278" t="inlineStr"/>
      <c r="OPX79" s="278" t="inlineStr"/>
      <c r="OPY79" s="278" t="inlineStr"/>
      <c r="OPZ79" s="278" t="inlineStr"/>
      <c r="OQA79" s="278" t="inlineStr"/>
      <c r="OQB79" s="278" t="inlineStr"/>
      <c r="OQC79" s="278" t="inlineStr"/>
      <c r="OQD79" s="278" t="inlineStr"/>
      <c r="OQE79" s="278" t="inlineStr"/>
      <c r="OQF79" s="278" t="inlineStr"/>
      <c r="OQG79" s="278" t="inlineStr"/>
      <c r="OQH79" s="278" t="inlineStr"/>
      <c r="OQI79" s="278" t="inlineStr"/>
      <c r="OQJ79" s="278" t="inlineStr"/>
      <c r="OQK79" s="278" t="inlineStr"/>
      <c r="OQL79" s="278" t="inlineStr"/>
      <c r="OQM79" s="278" t="inlineStr"/>
      <c r="OQN79" s="278" t="inlineStr"/>
      <c r="OQO79" s="278" t="inlineStr"/>
      <c r="OQP79" s="278" t="inlineStr"/>
      <c r="OQQ79" s="278" t="inlineStr"/>
      <c r="OQR79" s="278" t="inlineStr"/>
      <c r="OQS79" s="278" t="inlineStr"/>
      <c r="OQT79" s="278" t="inlineStr"/>
      <c r="OQU79" s="278" t="inlineStr"/>
      <c r="OQV79" s="278" t="inlineStr"/>
      <c r="OQW79" s="278" t="inlineStr"/>
      <c r="OQX79" s="278" t="inlineStr"/>
      <c r="OQY79" s="278" t="inlineStr"/>
      <c r="OQZ79" s="278" t="inlineStr"/>
      <c r="ORA79" s="278" t="inlineStr"/>
      <c r="ORB79" s="278" t="inlineStr"/>
      <c r="ORC79" s="278" t="inlineStr"/>
      <c r="ORD79" s="278" t="inlineStr"/>
      <c r="ORE79" s="278" t="inlineStr"/>
      <c r="ORF79" s="278" t="inlineStr"/>
      <c r="ORG79" s="278" t="inlineStr"/>
      <c r="ORH79" s="278" t="inlineStr"/>
      <c r="ORI79" s="278" t="inlineStr"/>
      <c r="ORJ79" s="278" t="inlineStr"/>
      <c r="ORK79" s="278" t="inlineStr"/>
      <c r="ORL79" s="278" t="inlineStr"/>
      <c r="ORM79" s="278" t="inlineStr"/>
      <c r="ORN79" s="278" t="inlineStr"/>
      <c r="ORO79" s="278" t="inlineStr"/>
      <c r="ORP79" s="278" t="inlineStr"/>
      <c r="ORQ79" s="278" t="inlineStr"/>
      <c r="ORR79" s="278" t="inlineStr"/>
      <c r="ORS79" s="278" t="inlineStr"/>
      <c r="ORT79" s="278" t="inlineStr"/>
      <c r="ORU79" s="278" t="inlineStr"/>
      <c r="ORV79" s="278" t="inlineStr"/>
      <c r="ORW79" s="278" t="inlineStr"/>
      <c r="ORX79" s="278" t="inlineStr"/>
      <c r="ORY79" s="278" t="inlineStr"/>
      <c r="ORZ79" s="278" t="inlineStr"/>
      <c r="OSA79" s="278" t="inlineStr"/>
      <c r="OSB79" s="278" t="inlineStr"/>
      <c r="OSC79" s="278" t="inlineStr"/>
      <c r="OSD79" s="278" t="inlineStr"/>
      <c r="OSE79" s="278" t="inlineStr"/>
      <c r="OSF79" s="278" t="inlineStr"/>
      <c r="OSG79" s="278" t="inlineStr"/>
      <c r="OSH79" s="278" t="inlineStr"/>
      <c r="OSI79" s="278" t="inlineStr"/>
      <c r="OSJ79" s="278" t="inlineStr"/>
      <c r="OSK79" s="278" t="inlineStr"/>
      <c r="OSL79" s="278" t="inlineStr"/>
      <c r="OSM79" s="278" t="inlineStr"/>
      <c r="OSN79" s="278" t="inlineStr"/>
      <c r="OSO79" s="278" t="inlineStr"/>
      <c r="OSP79" s="278" t="inlineStr"/>
      <c r="OSQ79" s="278" t="inlineStr"/>
      <c r="OSR79" s="278" t="inlineStr"/>
      <c r="OSS79" s="278" t="inlineStr"/>
      <c r="OST79" s="278" t="inlineStr"/>
      <c r="OSU79" s="278" t="inlineStr"/>
      <c r="OSV79" s="278" t="inlineStr"/>
      <c r="OSW79" s="278" t="inlineStr"/>
      <c r="OSX79" s="278" t="inlineStr"/>
      <c r="OSY79" s="278" t="inlineStr"/>
      <c r="OSZ79" s="278" t="inlineStr"/>
      <c r="OTA79" s="278" t="inlineStr"/>
      <c r="OTB79" s="278" t="inlineStr"/>
      <c r="OTC79" s="278" t="inlineStr"/>
      <c r="OTD79" s="278" t="inlineStr"/>
      <c r="OTE79" s="278" t="inlineStr"/>
      <c r="OTF79" s="278" t="inlineStr"/>
      <c r="OTG79" s="278" t="inlineStr"/>
      <c r="OTH79" s="278" t="inlineStr"/>
      <c r="OTI79" s="278" t="inlineStr"/>
      <c r="OTJ79" s="278" t="inlineStr"/>
      <c r="OTK79" s="278" t="inlineStr"/>
      <c r="OTL79" s="278" t="inlineStr"/>
      <c r="OTM79" s="278" t="inlineStr"/>
      <c r="OTN79" s="278" t="inlineStr"/>
      <c r="OTO79" s="278" t="inlineStr"/>
      <c r="OTP79" s="278" t="inlineStr"/>
      <c r="OTQ79" s="278" t="inlineStr"/>
      <c r="OTR79" s="278" t="inlineStr"/>
      <c r="OTS79" s="278" t="inlineStr"/>
      <c r="OTT79" s="278" t="inlineStr"/>
      <c r="OTU79" s="278" t="inlineStr"/>
      <c r="OTV79" s="278" t="inlineStr"/>
      <c r="OTW79" s="278" t="inlineStr"/>
      <c r="OTX79" s="278" t="inlineStr"/>
      <c r="OTY79" s="278" t="inlineStr"/>
      <c r="OTZ79" s="278" t="inlineStr"/>
      <c r="OUA79" s="278" t="inlineStr"/>
      <c r="OUB79" s="278" t="inlineStr"/>
      <c r="OUC79" s="278" t="inlineStr"/>
      <c r="OUD79" s="278" t="inlineStr"/>
      <c r="OUE79" s="278" t="inlineStr"/>
      <c r="OUF79" s="278" t="inlineStr"/>
      <c r="OUG79" s="278" t="inlineStr"/>
      <c r="OUH79" s="278" t="inlineStr"/>
      <c r="OUI79" s="278" t="inlineStr"/>
      <c r="OUJ79" s="278" t="inlineStr"/>
      <c r="OUK79" s="278" t="inlineStr"/>
      <c r="OUL79" s="278" t="inlineStr"/>
      <c r="OUM79" s="278" t="inlineStr"/>
      <c r="OUN79" s="278" t="inlineStr"/>
      <c r="OUO79" s="278" t="inlineStr"/>
      <c r="OUP79" s="278" t="inlineStr"/>
      <c r="OUQ79" s="278" t="inlineStr"/>
      <c r="OUR79" s="278" t="inlineStr"/>
      <c r="OUS79" s="278" t="inlineStr"/>
      <c r="OUT79" s="278" t="inlineStr"/>
      <c r="OUU79" s="278" t="inlineStr"/>
      <c r="OUV79" s="278" t="inlineStr"/>
      <c r="OUW79" s="278" t="inlineStr"/>
      <c r="OUX79" s="278" t="inlineStr"/>
      <c r="OUY79" s="278" t="inlineStr"/>
      <c r="OUZ79" s="278" t="inlineStr"/>
      <c r="OVA79" s="278" t="inlineStr"/>
      <c r="OVB79" s="278" t="inlineStr"/>
      <c r="OVC79" s="278" t="inlineStr"/>
      <c r="OVD79" s="278" t="inlineStr"/>
      <c r="OVE79" s="278" t="inlineStr"/>
      <c r="OVF79" s="278" t="inlineStr"/>
      <c r="OVG79" s="278" t="inlineStr"/>
      <c r="OVH79" s="278" t="inlineStr"/>
      <c r="OVI79" s="278" t="inlineStr"/>
      <c r="OVJ79" s="278" t="inlineStr"/>
      <c r="OVK79" s="278" t="inlineStr"/>
      <c r="OVL79" s="278" t="inlineStr"/>
      <c r="OVM79" s="278" t="inlineStr"/>
      <c r="OVN79" s="278" t="inlineStr"/>
      <c r="OVO79" s="278" t="inlineStr"/>
      <c r="OVP79" s="278" t="inlineStr"/>
      <c r="OVQ79" s="278" t="inlineStr"/>
      <c r="OVR79" s="278" t="inlineStr"/>
      <c r="OVS79" s="278" t="inlineStr"/>
      <c r="OVT79" s="278" t="inlineStr"/>
      <c r="OVU79" s="278" t="inlineStr"/>
      <c r="OVV79" s="278" t="inlineStr"/>
      <c r="OVW79" s="278" t="inlineStr"/>
      <c r="OVX79" s="278" t="inlineStr"/>
      <c r="OVY79" s="278" t="inlineStr"/>
      <c r="OVZ79" s="278" t="inlineStr"/>
      <c r="OWA79" s="278" t="inlineStr"/>
      <c r="OWB79" s="278" t="inlineStr"/>
      <c r="OWC79" s="278" t="inlineStr"/>
      <c r="OWD79" s="278" t="inlineStr"/>
      <c r="OWE79" s="278" t="inlineStr"/>
      <c r="OWF79" s="278" t="inlineStr"/>
      <c r="OWG79" s="278" t="inlineStr"/>
      <c r="OWH79" s="278" t="inlineStr"/>
      <c r="OWI79" s="278" t="inlineStr"/>
      <c r="OWJ79" s="278" t="inlineStr"/>
      <c r="OWK79" s="278" t="inlineStr"/>
      <c r="OWL79" s="278" t="inlineStr"/>
      <c r="OWM79" s="278" t="inlineStr"/>
      <c r="OWN79" s="278" t="inlineStr"/>
      <c r="OWO79" s="278" t="inlineStr"/>
      <c r="OWP79" s="278" t="inlineStr"/>
      <c r="OWQ79" s="278" t="inlineStr"/>
      <c r="OWR79" s="278" t="inlineStr"/>
      <c r="OWS79" s="278" t="inlineStr"/>
      <c r="OWT79" s="278" t="inlineStr"/>
      <c r="OWU79" s="278" t="inlineStr"/>
      <c r="OWV79" s="278" t="inlineStr"/>
      <c r="OWW79" s="278" t="inlineStr"/>
      <c r="OWX79" s="278" t="inlineStr"/>
      <c r="OWY79" s="278" t="inlineStr"/>
      <c r="OWZ79" s="278" t="inlineStr"/>
      <c r="OXA79" s="278" t="inlineStr"/>
      <c r="OXB79" s="278" t="inlineStr"/>
      <c r="OXC79" s="278" t="inlineStr"/>
      <c r="OXD79" s="278" t="inlineStr"/>
      <c r="OXE79" s="278" t="inlineStr"/>
      <c r="OXF79" s="278" t="inlineStr"/>
      <c r="OXG79" s="278" t="inlineStr"/>
      <c r="OXH79" s="278" t="inlineStr"/>
      <c r="OXI79" s="278" t="inlineStr"/>
      <c r="OXJ79" s="278" t="inlineStr"/>
      <c r="OXK79" s="278" t="inlineStr"/>
      <c r="OXL79" s="278" t="inlineStr"/>
      <c r="OXM79" s="278" t="inlineStr"/>
      <c r="OXN79" s="278" t="inlineStr"/>
      <c r="OXO79" s="278" t="inlineStr"/>
      <c r="OXP79" s="278" t="inlineStr"/>
      <c r="OXQ79" s="278" t="inlineStr"/>
      <c r="OXR79" s="278" t="inlineStr"/>
      <c r="OXS79" s="278" t="inlineStr"/>
      <c r="OXT79" s="278" t="inlineStr"/>
      <c r="OXU79" s="278" t="inlineStr"/>
      <c r="OXV79" s="278" t="inlineStr"/>
      <c r="OXW79" s="278" t="inlineStr"/>
      <c r="OXX79" s="278" t="inlineStr"/>
      <c r="OXY79" s="278" t="inlineStr"/>
      <c r="OXZ79" s="278" t="inlineStr"/>
      <c r="OYA79" s="278" t="inlineStr"/>
      <c r="OYB79" s="278" t="inlineStr"/>
      <c r="OYC79" s="278" t="inlineStr"/>
      <c r="OYD79" s="278" t="inlineStr"/>
      <c r="OYE79" s="278" t="inlineStr"/>
      <c r="OYF79" s="278" t="inlineStr"/>
      <c r="OYG79" s="278" t="inlineStr"/>
      <c r="OYH79" s="278" t="inlineStr"/>
      <c r="OYI79" s="278" t="inlineStr"/>
      <c r="OYJ79" s="278" t="inlineStr"/>
      <c r="OYK79" s="278" t="inlineStr"/>
      <c r="OYL79" s="278" t="inlineStr"/>
      <c r="OYM79" s="278" t="inlineStr"/>
      <c r="OYN79" s="278" t="inlineStr"/>
      <c r="OYO79" s="278" t="inlineStr"/>
      <c r="OYP79" s="278" t="inlineStr"/>
      <c r="OYQ79" s="278" t="inlineStr"/>
      <c r="OYR79" s="278" t="inlineStr"/>
      <c r="OYS79" s="278" t="inlineStr"/>
      <c r="OYT79" s="278" t="inlineStr"/>
      <c r="OYU79" s="278" t="inlineStr"/>
      <c r="OYV79" s="278" t="inlineStr"/>
      <c r="OYW79" s="278" t="inlineStr"/>
      <c r="OYX79" s="278" t="inlineStr"/>
      <c r="OYY79" s="278" t="inlineStr"/>
      <c r="OYZ79" s="278" t="inlineStr"/>
      <c r="OZA79" s="278" t="inlineStr"/>
      <c r="OZB79" s="278" t="inlineStr"/>
      <c r="OZC79" s="278" t="inlineStr"/>
      <c r="OZD79" s="278" t="inlineStr"/>
      <c r="OZE79" s="278" t="inlineStr"/>
      <c r="OZF79" s="278" t="inlineStr"/>
      <c r="OZG79" s="278" t="inlineStr"/>
      <c r="OZH79" s="278" t="inlineStr"/>
      <c r="OZI79" s="278" t="inlineStr"/>
      <c r="OZJ79" s="278" t="inlineStr"/>
      <c r="OZK79" s="278" t="inlineStr"/>
      <c r="OZL79" s="278" t="inlineStr"/>
      <c r="OZM79" s="278" t="inlineStr"/>
      <c r="OZN79" s="278" t="inlineStr"/>
      <c r="OZO79" s="278" t="inlineStr"/>
      <c r="OZP79" s="278" t="inlineStr"/>
      <c r="OZQ79" s="278" t="inlineStr"/>
      <c r="OZR79" s="278" t="inlineStr"/>
      <c r="OZS79" s="278" t="inlineStr"/>
      <c r="OZT79" s="278" t="inlineStr"/>
      <c r="OZU79" s="278" t="inlineStr"/>
      <c r="OZV79" s="278" t="inlineStr"/>
      <c r="OZW79" s="278" t="inlineStr"/>
      <c r="OZX79" s="278" t="inlineStr"/>
      <c r="OZY79" s="278" t="inlineStr"/>
      <c r="OZZ79" s="278" t="inlineStr"/>
      <c r="PAA79" s="278" t="inlineStr"/>
      <c r="PAB79" s="278" t="inlineStr"/>
      <c r="PAC79" s="278" t="inlineStr"/>
      <c r="PAD79" s="278" t="inlineStr"/>
      <c r="PAE79" s="278" t="inlineStr"/>
      <c r="PAF79" s="278" t="inlineStr"/>
      <c r="PAG79" s="278" t="inlineStr"/>
      <c r="PAH79" s="278" t="inlineStr"/>
      <c r="PAI79" s="278" t="inlineStr"/>
      <c r="PAJ79" s="278" t="inlineStr"/>
      <c r="PAK79" s="278" t="inlineStr"/>
      <c r="PAL79" s="278" t="inlineStr"/>
      <c r="PAM79" s="278" t="inlineStr"/>
      <c r="PAN79" s="278" t="inlineStr"/>
      <c r="PAO79" s="278" t="inlineStr"/>
      <c r="PAP79" s="278" t="inlineStr"/>
      <c r="PAQ79" s="278" t="inlineStr"/>
      <c r="PAR79" s="278" t="inlineStr"/>
      <c r="PAS79" s="278" t="inlineStr"/>
      <c r="PAT79" s="278" t="inlineStr"/>
      <c r="PAU79" s="278" t="inlineStr"/>
      <c r="PAV79" s="278" t="inlineStr"/>
      <c r="PAW79" s="278" t="inlineStr"/>
      <c r="PAX79" s="278" t="inlineStr"/>
      <c r="PAY79" s="278" t="inlineStr"/>
      <c r="PAZ79" s="278" t="inlineStr"/>
      <c r="PBA79" s="278" t="inlineStr"/>
      <c r="PBB79" s="278" t="inlineStr"/>
      <c r="PBC79" s="278" t="inlineStr"/>
      <c r="PBD79" s="278" t="inlineStr"/>
      <c r="PBE79" s="278" t="inlineStr"/>
      <c r="PBF79" s="278" t="inlineStr"/>
      <c r="PBG79" s="278" t="inlineStr"/>
      <c r="PBH79" s="278" t="inlineStr"/>
      <c r="PBI79" s="278" t="inlineStr"/>
      <c r="PBJ79" s="278" t="inlineStr"/>
      <c r="PBK79" s="278" t="inlineStr"/>
      <c r="PBL79" s="278" t="inlineStr"/>
      <c r="PBM79" s="278" t="inlineStr"/>
      <c r="PBN79" s="278" t="inlineStr"/>
      <c r="PBO79" s="278" t="inlineStr"/>
      <c r="PBP79" s="278" t="inlineStr"/>
      <c r="PBQ79" s="278" t="inlineStr"/>
      <c r="PBR79" s="278" t="inlineStr"/>
      <c r="PBS79" s="278" t="inlineStr"/>
      <c r="PBT79" s="278" t="inlineStr"/>
      <c r="PBU79" s="278" t="inlineStr"/>
      <c r="PBV79" s="278" t="inlineStr"/>
      <c r="PBW79" s="278" t="inlineStr"/>
      <c r="PBX79" s="278" t="inlineStr"/>
      <c r="PBY79" s="278" t="inlineStr"/>
      <c r="PBZ79" s="278" t="inlineStr"/>
      <c r="PCA79" s="278" t="inlineStr"/>
      <c r="PCB79" s="278" t="inlineStr"/>
      <c r="PCC79" s="278" t="inlineStr"/>
      <c r="PCD79" s="278" t="inlineStr"/>
      <c r="PCE79" s="278" t="inlineStr"/>
      <c r="PCF79" s="278" t="inlineStr"/>
      <c r="PCG79" s="278" t="inlineStr"/>
      <c r="PCH79" s="278" t="inlineStr"/>
      <c r="PCI79" s="278" t="inlineStr"/>
      <c r="PCJ79" s="278" t="inlineStr"/>
      <c r="PCK79" s="278" t="inlineStr"/>
      <c r="PCL79" s="278" t="inlineStr"/>
      <c r="PCM79" s="278" t="inlineStr"/>
      <c r="PCN79" s="278" t="inlineStr"/>
      <c r="PCO79" s="278" t="inlineStr"/>
      <c r="PCP79" s="278" t="inlineStr"/>
      <c r="PCQ79" s="278" t="inlineStr"/>
      <c r="PCR79" s="278" t="inlineStr"/>
      <c r="PCS79" s="278" t="inlineStr"/>
      <c r="PCT79" s="278" t="inlineStr"/>
      <c r="PCU79" s="278" t="inlineStr"/>
      <c r="PCV79" s="278" t="inlineStr"/>
      <c r="PCW79" s="278" t="inlineStr"/>
      <c r="PCX79" s="278" t="inlineStr"/>
      <c r="PCY79" s="278" t="inlineStr"/>
      <c r="PCZ79" s="278" t="inlineStr"/>
      <c r="PDA79" s="278" t="inlineStr"/>
      <c r="PDB79" s="278" t="inlineStr"/>
      <c r="PDC79" s="278" t="inlineStr"/>
      <c r="PDD79" s="278" t="inlineStr"/>
      <c r="PDE79" s="278" t="inlineStr"/>
      <c r="PDF79" s="278" t="inlineStr"/>
      <c r="PDG79" s="278" t="inlineStr"/>
      <c r="PDH79" s="278" t="inlineStr"/>
      <c r="PDI79" s="278" t="inlineStr"/>
      <c r="PDJ79" s="278" t="inlineStr"/>
      <c r="PDK79" s="278" t="inlineStr"/>
      <c r="PDL79" s="278" t="inlineStr"/>
      <c r="PDM79" s="278" t="inlineStr"/>
      <c r="PDN79" s="278" t="inlineStr"/>
      <c r="PDO79" s="278" t="inlineStr"/>
      <c r="PDP79" s="278" t="inlineStr"/>
      <c r="PDQ79" s="278" t="inlineStr"/>
      <c r="PDR79" s="278" t="inlineStr"/>
      <c r="PDS79" s="278" t="inlineStr"/>
      <c r="PDT79" s="278" t="inlineStr"/>
      <c r="PDU79" s="278" t="inlineStr"/>
      <c r="PDV79" s="278" t="inlineStr"/>
      <c r="PDW79" s="278" t="inlineStr"/>
      <c r="PDX79" s="278" t="inlineStr"/>
      <c r="PDY79" s="278" t="inlineStr"/>
      <c r="PDZ79" s="278" t="inlineStr"/>
      <c r="PEA79" s="278" t="inlineStr"/>
      <c r="PEB79" s="278" t="inlineStr"/>
      <c r="PEC79" s="278" t="inlineStr"/>
      <c r="PED79" s="278" t="inlineStr"/>
      <c r="PEE79" s="278" t="inlineStr"/>
      <c r="PEF79" s="278" t="inlineStr"/>
      <c r="PEG79" s="278" t="inlineStr"/>
      <c r="PEH79" s="278" t="inlineStr"/>
      <c r="PEI79" s="278" t="inlineStr"/>
      <c r="PEJ79" s="278" t="inlineStr"/>
      <c r="PEK79" s="278" t="inlineStr"/>
      <c r="PEL79" s="278" t="inlineStr"/>
      <c r="PEM79" s="278" t="inlineStr"/>
      <c r="PEN79" s="278" t="inlineStr"/>
      <c r="PEO79" s="278" t="inlineStr"/>
      <c r="PEP79" s="278" t="inlineStr"/>
      <c r="PEQ79" s="278" t="inlineStr"/>
      <c r="PER79" s="278" t="inlineStr"/>
      <c r="PES79" s="278" t="inlineStr"/>
      <c r="PET79" s="278" t="inlineStr"/>
      <c r="PEU79" s="278" t="inlineStr"/>
      <c r="PEV79" s="278" t="inlineStr"/>
      <c r="PEW79" s="278" t="inlineStr"/>
      <c r="PEX79" s="278" t="inlineStr"/>
      <c r="PEY79" s="278" t="inlineStr"/>
      <c r="PEZ79" s="278" t="inlineStr"/>
      <c r="PFA79" s="278" t="inlineStr"/>
      <c r="PFB79" s="278" t="inlineStr"/>
      <c r="PFC79" s="278" t="inlineStr"/>
      <c r="PFD79" s="278" t="inlineStr"/>
      <c r="PFE79" s="278" t="inlineStr"/>
      <c r="PFF79" s="278" t="inlineStr"/>
      <c r="PFG79" s="278" t="inlineStr"/>
      <c r="PFH79" s="278" t="inlineStr"/>
      <c r="PFI79" s="278" t="inlineStr"/>
      <c r="PFJ79" s="278" t="inlineStr"/>
      <c r="PFK79" s="278" t="inlineStr"/>
      <c r="PFL79" s="278" t="inlineStr"/>
      <c r="PFM79" s="278" t="inlineStr"/>
      <c r="PFN79" s="278" t="inlineStr"/>
      <c r="PFO79" s="278" t="inlineStr"/>
      <c r="PFP79" s="278" t="inlineStr"/>
      <c r="PFQ79" s="278" t="inlineStr"/>
      <c r="PFR79" s="278" t="inlineStr"/>
      <c r="PFS79" s="278" t="inlineStr"/>
      <c r="PFT79" s="278" t="inlineStr"/>
      <c r="PFU79" s="278" t="inlineStr"/>
      <c r="PFV79" s="278" t="inlineStr"/>
      <c r="PFW79" s="278" t="inlineStr"/>
      <c r="PFX79" s="278" t="inlineStr"/>
      <c r="PFY79" s="278" t="inlineStr"/>
      <c r="PFZ79" s="278" t="inlineStr"/>
      <c r="PGA79" s="278" t="inlineStr"/>
      <c r="PGB79" s="278" t="inlineStr"/>
      <c r="PGC79" s="278" t="inlineStr"/>
      <c r="PGD79" s="278" t="inlineStr"/>
      <c r="PGE79" s="278" t="inlineStr"/>
      <c r="PGF79" s="278" t="inlineStr"/>
      <c r="PGG79" s="278" t="inlineStr"/>
      <c r="PGH79" s="278" t="inlineStr"/>
      <c r="PGI79" s="278" t="inlineStr"/>
      <c r="PGJ79" s="278" t="inlineStr"/>
      <c r="PGK79" s="278" t="inlineStr"/>
      <c r="PGL79" s="278" t="inlineStr"/>
      <c r="PGM79" s="278" t="inlineStr"/>
      <c r="PGN79" s="278" t="inlineStr"/>
      <c r="PGO79" s="278" t="inlineStr"/>
      <c r="PGP79" s="278" t="inlineStr"/>
      <c r="PGQ79" s="278" t="inlineStr"/>
      <c r="PGR79" s="278" t="inlineStr"/>
      <c r="PGS79" s="278" t="inlineStr"/>
      <c r="PGT79" s="278" t="inlineStr"/>
      <c r="PGU79" s="278" t="inlineStr"/>
      <c r="PGV79" s="278" t="inlineStr"/>
      <c r="PGW79" s="278" t="inlineStr"/>
      <c r="PGX79" s="278" t="inlineStr"/>
      <c r="PGY79" s="278" t="inlineStr"/>
      <c r="PGZ79" s="278" t="inlineStr"/>
      <c r="PHA79" s="278" t="inlineStr"/>
      <c r="PHB79" s="278" t="inlineStr"/>
      <c r="PHC79" s="278" t="inlineStr"/>
      <c r="PHD79" s="278" t="inlineStr"/>
      <c r="PHE79" s="278" t="inlineStr"/>
      <c r="PHF79" s="278" t="inlineStr"/>
      <c r="PHG79" s="278" t="inlineStr"/>
      <c r="PHH79" s="278" t="inlineStr"/>
      <c r="PHI79" s="278" t="inlineStr"/>
      <c r="PHJ79" s="278" t="inlineStr"/>
      <c r="PHK79" s="278" t="inlineStr"/>
      <c r="PHL79" s="278" t="inlineStr"/>
      <c r="PHM79" s="278" t="inlineStr"/>
      <c r="PHN79" s="278" t="inlineStr"/>
      <c r="PHO79" s="278" t="inlineStr"/>
      <c r="PHP79" s="278" t="inlineStr"/>
      <c r="PHQ79" s="278" t="inlineStr"/>
      <c r="PHR79" s="278" t="inlineStr"/>
      <c r="PHS79" s="278" t="inlineStr"/>
      <c r="PHT79" s="278" t="inlineStr"/>
      <c r="PHU79" s="278" t="inlineStr"/>
      <c r="PHV79" s="278" t="inlineStr"/>
      <c r="PHW79" s="278" t="inlineStr"/>
      <c r="PHX79" s="278" t="inlineStr"/>
      <c r="PHY79" s="278" t="inlineStr"/>
      <c r="PHZ79" s="278" t="inlineStr"/>
      <c r="PIA79" s="278" t="inlineStr"/>
      <c r="PIB79" s="278" t="inlineStr"/>
      <c r="PIC79" s="278" t="inlineStr"/>
      <c r="PID79" s="278" t="inlineStr"/>
      <c r="PIE79" s="278" t="inlineStr"/>
      <c r="PIF79" s="278" t="inlineStr"/>
      <c r="PIG79" s="278" t="inlineStr"/>
      <c r="PIH79" s="278" t="inlineStr"/>
      <c r="PII79" s="278" t="inlineStr"/>
      <c r="PIJ79" s="278" t="inlineStr"/>
      <c r="PIK79" s="278" t="inlineStr"/>
      <c r="PIL79" s="278" t="inlineStr"/>
      <c r="PIM79" s="278" t="inlineStr"/>
      <c r="PIN79" s="278" t="inlineStr"/>
      <c r="PIO79" s="278" t="inlineStr"/>
      <c r="PIP79" s="278" t="inlineStr"/>
      <c r="PIQ79" s="278" t="inlineStr"/>
      <c r="PIR79" s="278" t="inlineStr"/>
      <c r="PIS79" s="278" t="inlineStr"/>
      <c r="PIT79" s="278" t="inlineStr"/>
      <c r="PIU79" s="278" t="inlineStr"/>
      <c r="PIV79" s="278" t="inlineStr"/>
      <c r="PIW79" s="278" t="inlineStr"/>
      <c r="PIX79" s="278" t="inlineStr"/>
      <c r="PIY79" s="278" t="inlineStr"/>
      <c r="PIZ79" s="278" t="inlineStr"/>
      <c r="PJA79" s="278" t="inlineStr"/>
      <c r="PJB79" s="278" t="inlineStr"/>
      <c r="PJC79" s="278" t="inlineStr"/>
      <c r="PJD79" s="278" t="inlineStr"/>
      <c r="PJE79" s="278" t="inlineStr"/>
      <c r="PJF79" s="278" t="inlineStr"/>
      <c r="PJG79" s="278" t="inlineStr"/>
      <c r="PJH79" s="278" t="inlineStr"/>
      <c r="PJI79" s="278" t="inlineStr"/>
      <c r="PJJ79" s="278" t="inlineStr"/>
      <c r="PJK79" s="278" t="inlineStr"/>
      <c r="PJL79" s="278" t="inlineStr"/>
      <c r="PJM79" s="278" t="inlineStr"/>
      <c r="PJN79" s="278" t="inlineStr"/>
      <c r="PJO79" s="278" t="inlineStr"/>
      <c r="PJP79" s="278" t="inlineStr"/>
      <c r="PJQ79" s="278" t="inlineStr"/>
      <c r="PJR79" s="278" t="inlineStr"/>
      <c r="PJS79" s="278" t="inlineStr"/>
      <c r="PJT79" s="278" t="inlineStr"/>
      <c r="PJU79" s="278" t="inlineStr"/>
      <c r="PJV79" s="278" t="inlineStr"/>
      <c r="PJW79" s="278" t="inlineStr"/>
      <c r="PJX79" s="278" t="inlineStr"/>
      <c r="PJY79" s="278" t="inlineStr"/>
      <c r="PJZ79" s="278" t="inlineStr"/>
      <c r="PKA79" s="278" t="inlineStr"/>
      <c r="PKB79" s="278" t="inlineStr"/>
      <c r="PKC79" s="278" t="inlineStr"/>
      <c r="PKD79" s="278" t="inlineStr"/>
      <c r="PKE79" s="278" t="inlineStr"/>
      <c r="PKF79" s="278" t="inlineStr"/>
      <c r="PKG79" s="278" t="inlineStr"/>
      <c r="PKH79" s="278" t="inlineStr"/>
      <c r="PKI79" s="278" t="inlineStr"/>
      <c r="PKJ79" s="278" t="inlineStr"/>
      <c r="PKK79" s="278" t="inlineStr"/>
      <c r="PKL79" s="278" t="inlineStr"/>
      <c r="PKM79" s="278" t="inlineStr"/>
      <c r="PKN79" s="278" t="inlineStr"/>
      <c r="PKO79" s="278" t="inlineStr"/>
      <c r="PKP79" s="278" t="inlineStr"/>
      <c r="PKQ79" s="278" t="inlineStr"/>
      <c r="PKR79" s="278" t="inlineStr"/>
      <c r="PKS79" s="278" t="inlineStr"/>
      <c r="PKT79" s="278" t="inlineStr"/>
      <c r="PKU79" s="278" t="inlineStr"/>
      <c r="PKV79" s="278" t="inlineStr"/>
      <c r="PKW79" s="278" t="inlineStr"/>
      <c r="PKX79" s="278" t="inlineStr"/>
      <c r="PKY79" s="278" t="inlineStr"/>
      <c r="PKZ79" s="278" t="inlineStr"/>
      <c r="PLA79" s="278" t="inlineStr"/>
      <c r="PLB79" s="278" t="inlineStr"/>
      <c r="PLC79" s="278" t="inlineStr"/>
      <c r="PLD79" s="278" t="inlineStr"/>
      <c r="PLE79" s="278" t="inlineStr"/>
      <c r="PLF79" s="278" t="inlineStr"/>
      <c r="PLG79" s="278" t="inlineStr"/>
      <c r="PLH79" s="278" t="inlineStr"/>
      <c r="PLI79" s="278" t="inlineStr"/>
      <c r="PLJ79" s="278" t="inlineStr"/>
      <c r="PLK79" s="278" t="inlineStr"/>
      <c r="PLL79" s="278" t="inlineStr"/>
      <c r="PLM79" s="278" t="inlineStr"/>
      <c r="PLN79" s="278" t="inlineStr"/>
      <c r="PLO79" s="278" t="inlineStr"/>
      <c r="PLP79" s="278" t="inlineStr"/>
      <c r="PLQ79" s="278" t="inlineStr"/>
      <c r="PLR79" s="278" t="inlineStr"/>
      <c r="PLS79" s="278" t="inlineStr"/>
      <c r="PLT79" s="278" t="inlineStr"/>
      <c r="PLU79" s="278" t="inlineStr"/>
      <c r="PLV79" s="278" t="inlineStr"/>
      <c r="PLW79" s="278" t="inlineStr"/>
      <c r="PLX79" s="278" t="inlineStr"/>
      <c r="PLY79" s="278" t="inlineStr"/>
      <c r="PLZ79" s="278" t="inlineStr"/>
      <c r="PMA79" s="278" t="inlineStr"/>
      <c r="PMB79" s="278" t="inlineStr"/>
      <c r="PMC79" s="278" t="inlineStr"/>
      <c r="PMD79" s="278" t="inlineStr"/>
      <c r="PME79" s="278" t="inlineStr"/>
      <c r="PMF79" s="278" t="inlineStr"/>
      <c r="PMG79" s="278" t="inlineStr"/>
      <c r="PMH79" s="278" t="inlineStr"/>
      <c r="PMI79" s="278" t="inlineStr"/>
      <c r="PMJ79" s="278" t="inlineStr"/>
      <c r="PMK79" s="278" t="inlineStr"/>
      <c r="PML79" s="278" t="inlineStr"/>
      <c r="PMM79" s="278" t="inlineStr"/>
      <c r="PMN79" s="278" t="inlineStr"/>
      <c r="PMO79" s="278" t="inlineStr"/>
      <c r="PMP79" s="278" t="inlineStr"/>
      <c r="PMQ79" s="278" t="inlineStr"/>
      <c r="PMR79" s="278" t="inlineStr"/>
      <c r="PMS79" s="278" t="inlineStr"/>
      <c r="PMT79" s="278" t="inlineStr"/>
      <c r="PMU79" s="278" t="inlineStr"/>
      <c r="PMV79" s="278" t="inlineStr"/>
      <c r="PMW79" s="278" t="inlineStr"/>
      <c r="PMX79" s="278" t="inlineStr"/>
      <c r="PMY79" s="278" t="inlineStr"/>
      <c r="PMZ79" s="278" t="inlineStr"/>
      <c r="PNA79" s="278" t="inlineStr"/>
      <c r="PNB79" s="278" t="inlineStr"/>
      <c r="PNC79" s="278" t="inlineStr"/>
      <c r="PND79" s="278" t="inlineStr"/>
      <c r="PNE79" s="278" t="inlineStr"/>
      <c r="PNF79" s="278" t="inlineStr"/>
      <c r="PNG79" s="278" t="inlineStr"/>
      <c r="PNH79" s="278" t="inlineStr"/>
      <c r="PNI79" s="278" t="inlineStr"/>
      <c r="PNJ79" s="278" t="inlineStr"/>
      <c r="PNK79" s="278" t="inlineStr"/>
      <c r="PNL79" s="278" t="inlineStr"/>
      <c r="PNM79" s="278" t="inlineStr"/>
      <c r="PNN79" s="278" t="inlineStr"/>
      <c r="PNO79" s="278" t="inlineStr"/>
      <c r="PNP79" s="278" t="inlineStr"/>
      <c r="PNQ79" s="278" t="inlineStr"/>
      <c r="PNR79" s="278" t="inlineStr"/>
      <c r="PNS79" s="278" t="inlineStr"/>
      <c r="PNT79" s="278" t="inlineStr"/>
      <c r="PNU79" s="278" t="inlineStr"/>
      <c r="PNV79" s="278" t="inlineStr"/>
      <c r="PNW79" s="278" t="inlineStr"/>
      <c r="PNX79" s="278" t="inlineStr"/>
      <c r="PNY79" s="278" t="inlineStr"/>
      <c r="PNZ79" s="278" t="inlineStr"/>
      <c r="POA79" s="278" t="inlineStr"/>
      <c r="POB79" s="278" t="inlineStr"/>
      <c r="POC79" s="278" t="inlineStr"/>
      <c r="POD79" s="278" t="inlineStr"/>
      <c r="POE79" s="278" t="inlineStr"/>
      <c r="POF79" s="278" t="inlineStr"/>
      <c r="POG79" s="278" t="inlineStr"/>
      <c r="POH79" s="278" t="inlineStr"/>
      <c r="POI79" s="278" t="inlineStr"/>
      <c r="POJ79" s="278" t="inlineStr"/>
      <c r="POK79" s="278" t="inlineStr"/>
      <c r="POL79" s="278" t="inlineStr"/>
      <c r="POM79" s="278" t="inlineStr"/>
      <c r="PON79" s="278" t="inlineStr"/>
      <c r="POO79" s="278" t="inlineStr"/>
      <c r="POP79" s="278" t="inlineStr"/>
      <c r="POQ79" s="278" t="inlineStr"/>
      <c r="POR79" s="278" t="inlineStr"/>
      <c r="POS79" s="278" t="inlineStr"/>
      <c r="POT79" s="278" t="inlineStr"/>
      <c r="POU79" s="278" t="inlineStr"/>
      <c r="POV79" s="278" t="inlineStr"/>
      <c r="POW79" s="278" t="inlineStr"/>
      <c r="POX79" s="278" t="inlineStr"/>
      <c r="POY79" s="278" t="inlineStr"/>
      <c r="POZ79" s="278" t="inlineStr"/>
      <c r="PPA79" s="278" t="inlineStr"/>
      <c r="PPB79" s="278" t="inlineStr"/>
      <c r="PPC79" s="278" t="inlineStr"/>
      <c r="PPD79" s="278" t="inlineStr"/>
      <c r="PPE79" s="278" t="inlineStr"/>
      <c r="PPF79" s="278" t="inlineStr"/>
      <c r="PPG79" s="278" t="inlineStr"/>
      <c r="PPH79" s="278" t="inlineStr"/>
      <c r="PPI79" s="278" t="inlineStr"/>
      <c r="PPJ79" s="278" t="inlineStr"/>
      <c r="PPK79" s="278" t="inlineStr"/>
      <c r="PPL79" s="278" t="inlineStr"/>
      <c r="PPM79" s="278" t="inlineStr"/>
      <c r="PPN79" s="278" t="inlineStr"/>
      <c r="PPO79" s="278" t="inlineStr"/>
      <c r="PPP79" s="278" t="inlineStr"/>
      <c r="PPQ79" s="278" t="inlineStr"/>
      <c r="PPR79" s="278" t="inlineStr"/>
      <c r="PPS79" s="278" t="inlineStr"/>
      <c r="PPT79" s="278" t="inlineStr"/>
      <c r="PPU79" s="278" t="inlineStr"/>
      <c r="PPV79" s="278" t="inlineStr"/>
      <c r="PPW79" s="278" t="inlineStr"/>
      <c r="PPX79" s="278" t="inlineStr"/>
      <c r="PPY79" s="278" t="inlineStr"/>
      <c r="PPZ79" s="278" t="inlineStr"/>
      <c r="PQA79" s="278" t="inlineStr"/>
      <c r="PQB79" s="278" t="inlineStr"/>
      <c r="PQC79" s="278" t="inlineStr"/>
      <c r="PQD79" s="278" t="inlineStr"/>
      <c r="PQE79" s="278" t="inlineStr"/>
      <c r="PQF79" s="278" t="inlineStr"/>
      <c r="PQG79" s="278" t="inlineStr"/>
      <c r="PQH79" s="278" t="inlineStr"/>
      <c r="PQI79" s="278" t="inlineStr"/>
      <c r="PQJ79" s="278" t="inlineStr"/>
      <c r="PQK79" s="278" t="inlineStr"/>
      <c r="PQL79" s="278" t="inlineStr"/>
      <c r="PQM79" s="278" t="inlineStr"/>
      <c r="PQN79" s="278" t="inlineStr"/>
      <c r="PQO79" s="278" t="inlineStr"/>
      <c r="PQP79" s="278" t="inlineStr"/>
      <c r="PQQ79" s="278" t="inlineStr"/>
      <c r="PQR79" s="278" t="inlineStr"/>
      <c r="PQS79" s="278" t="inlineStr"/>
      <c r="PQT79" s="278" t="inlineStr"/>
      <c r="PQU79" s="278" t="inlineStr"/>
      <c r="PQV79" s="278" t="inlineStr"/>
      <c r="PQW79" s="278" t="inlineStr"/>
      <c r="PQX79" s="278" t="inlineStr"/>
      <c r="PQY79" s="278" t="inlineStr"/>
      <c r="PQZ79" s="278" t="inlineStr"/>
      <c r="PRA79" s="278" t="inlineStr"/>
      <c r="PRB79" s="278" t="inlineStr"/>
      <c r="PRC79" s="278" t="inlineStr"/>
      <c r="PRD79" s="278" t="inlineStr"/>
      <c r="PRE79" s="278" t="inlineStr"/>
      <c r="PRF79" s="278" t="inlineStr"/>
      <c r="PRG79" s="278" t="inlineStr"/>
      <c r="PRH79" s="278" t="inlineStr"/>
      <c r="PRI79" s="278" t="inlineStr"/>
      <c r="PRJ79" s="278" t="inlineStr"/>
      <c r="PRK79" s="278" t="inlineStr"/>
      <c r="PRL79" s="278" t="inlineStr"/>
      <c r="PRM79" s="278" t="inlineStr"/>
      <c r="PRN79" s="278" t="inlineStr"/>
      <c r="PRO79" s="278" t="inlineStr"/>
      <c r="PRP79" s="278" t="inlineStr"/>
      <c r="PRQ79" s="278" t="inlineStr"/>
      <c r="PRR79" s="278" t="inlineStr"/>
      <c r="PRS79" s="278" t="inlineStr"/>
      <c r="PRT79" s="278" t="inlineStr"/>
      <c r="PRU79" s="278" t="inlineStr"/>
      <c r="PRV79" s="278" t="inlineStr"/>
      <c r="PRW79" s="278" t="inlineStr"/>
      <c r="PRX79" s="278" t="inlineStr"/>
      <c r="PRY79" s="278" t="inlineStr"/>
      <c r="PRZ79" s="278" t="inlineStr"/>
      <c r="PSA79" s="278" t="inlineStr"/>
      <c r="PSB79" s="278" t="inlineStr"/>
      <c r="PSC79" s="278" t="inlineStr"/>
      <c r="PSD79" s="278" t="inlineStr"/>
      <c r="PSE79" s="278" t="inlineStr"/>
      <c r="PSF79" s="278" t="inlineStr"/>
      <c r="PSG79" s="278" t="inlineStr"/>
      <c r="PSH79" s="278" t="inlineStr"/>
      <c r="PSI79" s="278" t="inlineStr"/>
      <c r="PSJ79" s="278" t="inlineStr"/>
      <c r="PSK79" s="278" t="inlineStr"/>
      <c r="PSL79" s="278" t="inlineStr"/>
      <c r="PSM79" s="278" t="inlineStr"/>
      <c r="PSN79" s="278" t="inlineStr"/>
      <c r="PSO79" s="278" t="inlineStr"/>
      <c r="PSP79" s="278" t="inlineStr"/>
      <c r="PSQ79" s="278" t="inlineStr"/>
      <c r="PSR79" s="278" t="inlineStr"/>
      <c r="PSS79" s="278" t="inlineStr"/>
      <c r="PST79" s="278" t="inlineStr"/>
      <c r="PSU79" s="278" t="inlineStr"/>
      <c r="PSV79" s="278" t="inlineStr"/>
      <c r="PSW79" s="278" t="inlineStr"/>
      <c r="PSX79" s="278" t="inlineStr"/>
      <c r="PSY79" s="278" t="inlineStr"/>
      <c r="PSZ79" s="278" t="inlineStr"/>
      <c r="PTA79" s="278" t="inlineStr"/>
      <c r="PTB79" s="278" t="inlineStr"/>
      <c r="PTC79" s="278" t="inlineStr"/>
      <c r="PTD79" s="278" t="inlineStr"/>
      <c r="PTE79" s="278" t="inlineStr"/>
      <c r="PTF79" s="278" t="inlineStr"/>
      <c r="PTG79" s="278" t="inlineStr"/>
      <c r="PTH79" s="278" t="inlineStr"/>
      <c r="PTI79" s="278" t="inlineStr"/>
      <c r="PTJ79" s="278" t="inlineStr"/>
      <c r="PTK79" s="278" t="inlineStr"/>
      <c r="PTL79" s="278" t="inlineStr"/>
      <c r="PTM79" s="278" t="inlineStr"/>
      <c r="PTN79" s="278" t="inlineStr"/>
      <c r="PTO79" s="278" t="inlineStr"/>
      <c r="PTP79" s="278" t="inlineStr"/>
      <c r="PTQ79" s="278" t="inlineStr"/>
      <c r="PTR79" s="278" t="inlineStr"/>
      <c r="PTS79" s="278" t="inlineStr"/>
      <c r="PTT79" s="278" t="inlineStr"/>
      <c r="PTU79" s="278" t="inlineStr"/>
      <c r="PTV79" s="278" t="inlineStr"/>
      <c r="PTW79" s="278" t="inlineStr"/>
      <c r="PTX79" s="278" t="inlineStr"/>
      <c r="PTY79" s="278" t="inlineStr"/>
      <c r="PTZ79" s="278" t="inlineStr"/>
      <c r="PUA79" s="278" t="inlineStr"/>
      <c r="PUB79" s="278" t="inlineStr"/>
      <c r="PUC79" s="278" t="inlineStr"/>
      <c r="PUD79" s="278" t="inlineStr"/>
      <c r="PUE79" s="278" t="inlineStr"/>
      <c r="PUF79" s="278" t="inlineStr"/>
      <c r="PUG79" s="278" t="inlineStr"/>
      <c r="PUH79" s="278" t="inlineStr"/>
      <c r="PUI79" s="278" t="inlineStr"/>
      <c r="PUJ79" s="278" t="inlineStr"/>
      <c r="PUK79" s="278" t="inlineStr"/>
      <c r="PUL79" s="278" t="inlineStr"/>
      <c r="PUM79" s="278" t="inlineStr"/>
      <c r="PUN79" s="278" t="inlineStr"/>
      <c r="PUO79" s="278" t="inlineStr"/>
      <c r="PUP79" s="278" t="inlineStr"/>
      <c r="PUQ79" s="278" t="inlineStr"/>
      <c r="PUR79" s="278" t="inlineStr"/>
      <c r="PUS79" s="278" t="inlineStr"/>
      <c r="PUT79" s="278" t="inlineStr"/>
      <c r="PUU79" s="278" t="inlineStr"/>
      <c r="PUV79" s="278" t="inlineStr"/>
      <c r="PUW79" s="278" t="inlineStr"/>
      <c r="PUX79" s="278" t="inlineStr"/>
      <c r="PUY79" s="278" t="inlineStr"/>
      <c r="PUZ79" s="278" t="inlineStr"/>
      <c r="PVA79" s="278" t="inlineStr"/>
      <c r="PVB79" s="278" t="inlineStr"/>
      <c r="PVC79" s="278" t="inlineStr"/>
      <c r="PVD79" s="278" t="inlineStr"/>
      <c r="PVE79" s="278" t="inlineStr"/>
      <c r="PVF79" s="278" t="inlineStr"/>
      <c r="PVG79" s="278" t="inlineStr"/>
      <c r="PVH79" s="278" t="inlineStr"/>
      <c r="PVI79" s="278" t="inlineStr"/>
      <c r="PVJ79" s="278" t="inlineStr"/>
      <c r="PVK79" s="278" t="inlineStr"/>
      <c r="PVL79" s="278" t="inlineStr"/>
      <c r="PVM79" s="278" t="inlineStr"/>
      <c r="PVN79" s="278" t="inlineStr"/>
      <c r="PVO79" s="278" t="inlineStr"/>
      <c r="PVP79" s="278" t="inlineStr"/>
      <c r="PVQ79" s="278" t="inlineStr"/>
      <c r="PVR79" s="278" t="inlineStr"/>
      <c r="PVS79" s="278" t="inlineStr"/>
      <c r="PVT79" s="278" t="inlineStr"/>
      <c r="PVU79" s="278" t="inlineStr"/>
      <c r="PVV79" s="278" t="inlineStr"/>
      <c r="PVW79" s="278" t="inlineStr"/>
      <c r="PVX79" s="278" t="inlineStr"/>
      <c r="PVY79" s="278" t="inlineStr"/>
      <c r="PVZ79" s="278" t="inlineStr"/>
      <c r="PWA79" s="278" t="inlineStr"/>
      <c r="PWB79" s="278" t="inlineStr"/>
      <c r="PWC79" s="278" t="inlineStr"/>
      <c r="PWD79" s="278" t="inlineStr"/>
      <c r="PWE79" s="278" t="inlineStr"/>
      <c r="PWF79" s="278" t="inlineStr"/>
      <c r="PWG79" s="278" t="inlineStr"/>
      <c r="PWH79" s="278" t="inlineStr"/>
      <c r="PWI79" s="278" t="inlineStr"/>
      <c r="PWJ79" s="278" t="inlineStr"/>
      <c r="PWK79" s="278" t="inlineStr"/>
      <c r="PWL79" s="278" t="inlineStr"/>
      <c r="PWM79" s="278" t="inlineStr"/>
      <c r="PWN79" s="278" t="inlineStr"/>
      <c r="PWO79" s="278" t="inlineStr"/>
      <c r="PWP79" s="278" t="inlineStr"/>
      <c r="PWQ79" s="278" t="inlineStr"/>
      <c r="PWR79" s="278" t="inlineStr"/>
      <c r="PWS79" s="278" t="inlineStr"/>
      <c r="PWT79" s="278" t="inlineStr"/>
      <c r="PWU79" s="278" t="inlineStr"/>
      <c r="PWV79" s="278" t="inlineStr"/>
      <c r="PWW79" s="278" t="inlineStr"/>
      <c r="PWX79" s="278" t="inlineStr"/>
      <c r="PWY79" s="278" t="inlineStr"/>
      <c r="PWZ79" s="278" t="inlineStr"/>
      <c r="PXA79" s="278" t="inlineStr"/>
      <c r="PXB79" s="278" t="inlineStr"/>
      <c r="PXC79" s="278" t="inlineStr"/>
      <c r="PXD79" s="278" t="inlineStr"/>
      <c r="PXE79" s="278" t="inlineStr"/>
      <c r="PXF79" s="278" t="inlineStr"/>
      <c r="PXG79" s="278" t="inlineStr"/>
      <c r="PXH79" s="278" t="inlineStr"/>
      <c r="PXI79" s="278" t="inlineStr"/>
      <c r="PXJ79" s="278" t="inlineStr"/>
      <c r="PXK79" s="278" t="inlineStr"/>
      <c r="PXL79" s="278" t="inlineStr"/>
      <c r="PXM79" s="278" t="inlineStr"/>
      <c r="PXN79" s="278" t="inlineStr"/>
      <c r="PXO79" s="278" t="inlineStr"/>
      <c r="PXP79" s="278" t="inlineStr"/>
      <c r="PXQ79" s="278" t="inlineStr"/>
      <c r="PXR79" s="278" t="inlineStr"/>
      <c r="PXS79" s="278" t="inlineStr"/>
      <c r="PXT79" s="278" t="inlineStr"/>
      <c r="PXU79" s="278" t="inlineStr"/>
      <c r="PXV79" s="278" t="inlineStr"/>
      <c r="PXW79" s="278" t="inlineStr"/>
      <c r="PXX79" s="278" t="inlineStr"/>
      <c r="PXY79" s="278" t="inlineStr"/>
      <c r="PXZ79" s="278" t="inlineStr"/>
      <c r="PYA79" s="278" t="inlineStr"/>
      <c r="PYB79" s="278" t="inlineStr"/>
      <c r="PYC79" s="278" t="inlineStr"/>
      <c r="PYD79" s="278" t="inlineStr"/>
      <c r="PYE79" s="278" t="inlineStr"/>
      <c r="PYF79" s="278" t="inlineStr"/>
      <c r="PYG79" s="278" t="inlineStr"/>
      <c r="PYH79" s="278" t="inlineStr"/>
      <c r="PYI79" s="278" t="inlineStr"/>
      <c r="PYJ79" s="278" t="inlineStr"/>
      <c r="PYK79" s="278" t="inlineStr"/>
      <c r="PYL79" s="278" t="inlineStr"/>
      <c r="PYM79" s="278" t="inlineStr"/>
      <c r="PYN79" s="278" t="inlineStr"/>
      <c r="PYO79" s="278" t="inlineStr"/>
      <c r="PYP79" s="278" t="inlineStr"/>
      <c r="PYQ79" s="278" t="inlineStr"/>
      <c r="PYR79" s="278" t="inlineStr"/>
      <c r="PYS79" s="278" t="inlineStr"/>
      <c r="PYT79" s="278" t="inlineStr"/>
      <c r="PYU79" s="278" t="inlineStr"/>
      <c r="PYV79" s="278" t="inlineStr"/>
      <c r="PYW79" s="278" t="inlineStr"/>
      <c r="PYX79" s="278" t="inlineStr"/>
      <c r="PYY79" s="278" t="inlineStr"/>
      <c r="PYZ79" s="278" t="inlineStr"/>
      <c r="PZA79" s="278" t="inlineStr"/>
      <c r="PZB79" s="278" t="inlineStr"/>
      <c r="PZC79" s="278" t="inlineStr"/>
      <c r="PZD79" s="278" t="inlineStr"/>
      <c r="PZE79" s="278" t="inlineStr"/>
      <c r="PZF79" s="278" t="inlineStr"/>
      <c r="PZG79" s="278" t="inlineStr"/>
      <c r="PZH79" s="278" t="inlineStr"/>
      <c r="PZI79" s="278" t="inlineStr"/>
      <c r="PZJ79" s="278" t="inlineStr"/>
      <c r="PZK79" s="278" t="inlineStr"/>
      <c r="PZL79" s="278" t="inlineStr"/>
      <c r="PZM79" s="278" t="inlineStr"/>
      <c r="PZN79" s="278" t="inlineStr"/>
      <c r="PZO79" s="278" t="inlineStr"/>
      <c r="PZP79" s="278" t="inlineStr"/>
      <c r="PZQ79" s="278" t="inlineStr"/>
      <c r="PZR79" s="278" t="inlineStr"/>
      <c r="PZS79" s="278" t="inlineStr"/>
      <c r="PZT79" s="278" t="inlineStr"/>
      <c r="PZU79" s="278" t="inlineStr"/>
      <c r="PZV79" s="278" t="inlineStr"/>
      <c r="PZW79" s="278" t="inlineStr"/>
      <c r="PZX79" s="278" t="inlineStr"/>
      <c r="PZY79" s="278" t="inlineStr"/>
      <c r="PZZ79" s="278" t="inlineStr"/>
      <c r="QAA79" s="278" t="inlineStr"/>
      <c r="QAB79" s="278" t="inlineStr"/>
      <c r="QAC79" s="278" t="inlineStr"/>
      <c r="QAD79" s="278" t="inlineStr"/>
      <c r="QAE79" s="278" t="inlineStr"/>
      <c r="QAF79" s="278" t="inlineStr"/>
      <c r="QAG79" s="278" t="inlineStr"/>
      <c r="QAH79" s="278" t="inlineStr"/>
      <c r="QAI79" s="278" t="inlineStr"/>
      <c r="QAJ79" s="278" t="inlineStr"/>
      <c r="QAK79" s="278" t="inlineStr"/>
      <c r="QAL79" s="278" t="inlineStr"/>
      <c r="QAM79" s="278" t="inlineStr"/>
      <c r="QAN79" s="278" t="inlineStr"/>
      <c r="QAO79" s="278" t="inlineStr"/>
      <c r="QAP79" s="278" t="inlineStr"/>
      <c r="QAQ79" s="278" t="inlineStr"/>
      <c r="QAR79" s="278" t="inlineStr"/>
      <c r="QAS79" s="278" t="inlineStr"/>
      <c r="QAT79" s="278" t="inlineStr"/>
      <c r="QAU79" s="278" t="inlineStr"/>
      <c r="QAV79" s="278" t="inlineStr"/>
      <c r="QAW79" s="278" t="inlineStr"/>
      <c r="QAX79" s="278" t="inlineStr"/>
      <c r="QAY79" s="278" t="inlineStr"/>
      <c r="QAZ79" s="278" t="inlineStr"/>
      <c r="QBA79" s="278" t="inlineStr"/>
      <c r="QBB79" s="278" t="inlineStr"/>
      <c r="QBC79" s="278" t="inlineStr"/>
      <c r="QBD79" s="278" t="inlineStr"/>
      <c r="QBE79" s="278" t="inlineStr"/>
      <c r="QBF79" s="278" t="inlineStr"/>
      <c r="QBG79" s="278" t="inlineStr"/>
      <c r="QBH79" s="278" t="inlineStr"/>
      <c r="QBI79" s="278" t="inlineStr"/>
      <c r="QBJ79" s="278" t="inlineStr"/>
      <c r="QBK79" s="278" t="inlineStr"/>
      <c r="QBL79" s="278" t="inlineStr"/>
      <c r="QBM79" s="278" t="inlineStr"/>
      <c r="QBN79" s="278" t="inlineStr"/>
      <c r="QBO79" s="278" t="inlineStr"/>
      <c r="QBP79" s="278" t="inlineStr"/>
      <c r="QBQ79" s="278" t="inlineStr"/>
      <c r="QBR79" s="278" t="inlineStr"/>
      <c r="QBS79" s="278" t="inlineStr"/>
      <c r="QBT79" s="278" t="inlineStr"/>
      <c r="QBU79" s="278" t="inlineStr"/>
      <c r="QBV79" s="278" t="inlineStr"/>
      <c r="QBW79" s="278" t="inlineStr"/>
      <c r="QBX79" s="278" t="inlineStr"/>
      <c r="QBY79" s="278" t="inlineStr"/>
      <c r="QBZ79" s="278" t="inlineStr"/>
      <c r="QCA79" s="278" t="inlineStr"/>
      <c r="QCB79" s="278" t="inlineStr"/>
      <c r="QCC79" s="278" t="inlineStr"/>
      <c r="QCD79" s="278" t="inlineStr"/>
      <c r="QCE79" s="278" t="inlineStr"/>
      <c r="QCF79" s="278" t="inlineStr"/>
      <c r="QCG79" s="278" t="inlineStr"/>
      <c r="QCH79" s="278" t="inlineStr"/>
      <c r="QCI79" s="278" t="inlineStr"/>
      <c r="QCJ79" s="278" t="inlineStr"/>
      <c r="QCK79" s="278" t="inlineStr"/>
      <c r="QCL79" s="278" t="inlineStr"/>
      <c r="QCM79" s="278" t="inlineStr"/>
      <c r="QCN79" s="278" t="inlineStr"/>
      <c r="QCO79" s="278" t="inlineStr"/>
      <c r="QCP79" s="278" t="inlineStr"/>
      <c r="QCQ79" s="278" t="inlineStr"/>
      <c r="QCR79" s="278" t="inlineStr"/>
      <c r="QCS79" s="278" t="inlineStr"/>
      <c r="QCT79" s="278" t="inlineStr"/>
      <c r="QCU79" s="278" t="inlineStr"/>
      <c r="QCV79" s="278" t="inlineStr"/>
      <c r="QCW79" s="278" t="inlineStr"/>
      <c r="QCX79" s="278" t="inlineStr"/>
      <c r="QCY79" s="278" t="inlineStr"/>
      <c r="QCZ79" s="278" t="inlineStr"/>
      <c r="QDA79" s="278" t="inlineStr"/>
      <c r="QDB79" s="278" t="inlineStr"/>
      <c r="QDC79" s="278" t="inlineStr"/>
      <c r="QDD79" s="278" t="inlineStr"/>
      <c r="QDE79" s="278" t="inlineStr"/>
      <c r="QDF79" s="278" t="inlineStr"/>
      <c r="QDG79" s="278" t="inlineStr"/>
      <c r="QDH79" s="278" t="inlineStr"/>
      <c r="QDI79" s="278" t="inlineStr"/>
      <c r="QDJ79" s="278" t="inlineStr"/>
      <c r="QDK79" s="278" t="inlineStr"/>
      <c r="QDL79" s="278" t="inlineStr"/>
      <c r="QDM79" s="278" t="inlineStr"/>
      <c r="QDN79" s="278" t="inlineStr"/>
      <c r="QDO79" s="278" t="inlineStr"/>
      <c r="QDP79" s="278" t="inlineStr"/>
      <c r="QDQ79" s="278" t="inlineStr"/>
      <c r="QDR79" s="278" t="inlineStr"/>
      <c r="QDS79" s="278" t="inlineStr"/>
      <c r="QDT79" s="278" t="inlineStr"/>
      <c r="QDU79" s="278" t="inlineStr"/>
      <c r="QDV79" s="278" t="inlineStr"/>
      <c r="QDW79" s="278" t="inlineStr"/>
      <c r="QDX79" s="278" t="inlineStr"/>
      <c r="QDY79" s="278" t="inlineStr"/>
      <c r="QDZ79" s="278" t="inlineStr"/>
      <c r="QEA79" s="278" t="inlineStr"/>
      <c r="QEB79" s="278" t="inlineStr"/>
      <c r="QEC79" s="278" t="inlineStr"/>
      <c r="QED79" s="278" t="inlineStr"/>
      <c r="QEE79" s="278" t="inlineStr"/>
      <c r="QEF79" s="278" t="inlineStr"/>
      <c r="QEG79" s="278" t="inlineStr"/>
      <c r="QEH79" s="278" t="inlineStr"/>
      <c r="QEI79" s="278" t="inlineStr"/>
      <c r="QEJ79" s="278" t="inlineStr"/>
      <c r="QEK79" s="278" t="inlineStr"/>
      <c r="QEL79" s="278" t="inlineStr"/>
      <c r="QEM79" s="278" t="inlineStr"/>
      <c r="QEN79" s="278" t="inlineStr"/>
      <c r="QEO79" s="278" t="inlineStr"/>
      <c r="QEP79" s="278" t="inlineStr"/>
      <c r="QEQ79" s="278" t="inlineStr"/>
      <c r="QER79" s="278" t="inlineStr"/>
      <c r="QES79" s="278" t="inlineStr"/>
      <c r="QET79" s="278" t="inlineStr"/>
      <c r="QEU79" s="278" t="inlineStr"/>
      <c r="QEV79" s="278" t="inlineStr"/>
      <c r="QEW79" s="278" t="inlineStr"/>
      <c r="QEX79" s="278" t="inlineStr"/>
      <c r="QEY79" s="278" t="inlineStr"/>
      <c r="QEZ79" s="278" t="inlineStr"/>
      <c r="QFA79" s="278" t="inlineStr"/>
      <c r="QFB79" s="278" t="inlineStr"/>
      <c r="QFC79" s="278" t="inlineStr"/>
      <c r="QFD79" s="278" t="inlineStr"/>
      <c r="QFE79" s="278" t="inlineStr"/>
      <c r="QFF79" s="278" t="inlineStr"/>
      <c r="QFG79" s="278" t="inlineStr"/>
      <c r="QFH79" s="278" t="inlineStr"/>
      <c r="QFI79" s="278" t="inlineStr"/>
      <c r="QFJ79" s="278" t="inlineStr"/>
      <c r="QFK79" s="278" t="inlineStr"/>
      <c r="QFL79" s="278" t="inlineStr"/>
      <c r="QFM79" s="278" t="inlineStr"/>
      <c r="QFN79" s="278" t="inlineStr"/>
      <c r="QFO79" s="278" t="inlineStr"/>
      <c r="QFP79" s="278" t="inlineStr"/>
      <c r="QFQ79" s="278" t="inlineStr"/>
      <c r="QFR79" s="278" t="inlineStr"/>
      <c r="QFS79" s="278" t="inlineStr"/>
      <c r="QFT79" s="278" t="inlineStr"/>
      <c r="QFU79" s="278" t="inlineStr"/>
      <c r="QFV79" s="278" t="inlineStr"/>
      <c r="QFW79" s="278" t="inlineStr"/>
      <c r="QFX79" s="278" t="inlineStr"/>
      <c r="QFY79" s="278" t="inlineStr"/>
      <c r="QFZ79" s="278" t="inlineStr"/>
      <c r="QGA79" s="278" t="inlineStr"/>
      <c r="QGB79" s="278" t="inlineStr"/>
      <c r="QGC79" s="278" t="inlineStr"/>
      <c r="QGD79" s="278" t="inlineStr"/>
      <c r="QGE79" s="278" t="inlineStr"/>
      <c r="QGF79" s="278" t="inlineStr"/>
      <c r="QGG79" s="278" t="inlineStr"/>
      <c r="QGH79" s="278" t="inlineStr"/>
      <c r="QGI79" s="278" t="inlineStr"/>
      <c r="QGJ79" s="278" t="inlineStr"/>
      <c r="QGK79" s="278" t="inlineStr"/>
      <c r="QGL79" s="278" t="inlineStr"/>
      <c r="QGM79" s="278" t="inlineStr"/>
      <c r="QGN79" s="278" t="inlineStr"/>
      <c r="QGO79" s="278" t="inlineStr"/>
      <c r="QGP79" s="278" t="inlineStr"/>
      <c r="QGQ79" s="278" t="inlineStr"/>
      <c r="QGR79" s="278" t="inlineStr"/>
      <c r="QGS79" s="278" t="inlineStr"/>
      <c r="QGT79" s="278" t="inlineStr"/>
      <c r="QGU79" s="278" t="inlineStr"/>
      <c r="QGV79" s="278" t="inlineStr"/>
      <c r="QGW79" s="278" t="inlineStr"/>
      <c r="QGX79" s="278" t="inlineStr"/>
      <c r="QGY79" s="278" t="inlineStr"/>
      <c r="QGZ79" s="278" t="inlineStr"/>
      <c r="QHA79" s="278" t="inlineStr"/>
      <c r="QHB79" s="278" t="inlineStr"/>
      <c r="QHC79" s="278" t="inlineStr"/>
      <c r="QHD79" s="278" t="inlineStr"/>
      <c r="QHE79" s="278" t="inlineStr"/>
      <c r="QHF79" s="278" t="inlineStr"/>
      <c r="QHG79" s="278" t="inlineStr"/>
      <c r="QHH79" s="278" t="inlineStr"/>
      <c r="QHI79" s="278" t="inlineStr"/>
      <c r="QHJ79" s="278" t="inlineStr"/>
      <c r="QHK79" s="278" t="inlineStr"/>
      <c r="QHL79" s="278" t="inlineStr"/>
      <c r="QHM79" s="278" t="inlineStr"/>
      <c r="QHN79" s="278" t="inlineStr"/>
      <c r="QHO79" s="278" t="inlineStr"/>
      <c r="QHP79" s="278" t="inlineStr"/>
      <c r="QHQ79" s="278" t="inlineStr"/>
      <c r="QHR79" s="278" t="inlineStr"/>
      <c r="QHS79" s="278" t="inlineStr"/>
      <c r="QHT79" s="278" t="inlineStr"/>
      <c r="QHU79" s="278" t="inlineStr"/>
      <c r="QHV79" s="278" t="inlineStr"/>
      <c r="QHW79" s="278" t="inlineStr"/>
      <c r="QHX79" s="278" t="inlineStr"/>
      <c r="QHY79" s="278" t="inlineStr"/>
      <c r="QHZ79" s="278" t="inlineStr"/>
      <c r="QIA79" s="278" t="inlineStr"/>
      <c r="QIB79" s="278" t="inlineStr"/>
      <c r="QIC79" s="278" t="inlineStr"/>
      <c r="QID79" s="278" t="inlineStr"/>
      <c r="QIE79" s="278" t="inlineStr"/>
      <c r="QIF79" s="278" t="inlineStr"/>
      <c r="QIG79" s="278" t="inlineStr"/>
      <c r="QIH79" s="278" t="inlineStr"/>
      <c r="QII79" s="278" t="inlineStr"/>
      <c r="QIJ79" s="278" t="inlineStr"/>
      <c r="QIK79" s="278" t="inlineStr"/>
      <c r="QIL79" s="278" t="inlineStr"/>
      <c r="QIM79" s="278" t="inlineStr"/>
      <c r="QIN79" s="278" t="inlineStr"/>
      <c r="QIO79" s="278" t="inlineStr"/>
      <c r="QIP79" s="278" t="inlineStr"/>
      <c r="QIQ79" s="278" t="inlineStr"/>
      <c r="QIR79" s="278" t="inlineStr"/>
      <c r="QIS79" s="278" t="inlineStr"/>
      <c r="QIT79" s="278" t="inlineStr"/>
      <c r="QIU79" s="278" t="inlineStr"/>
      <c r="QIV79" s="278" t="inlineStr"/>
      <c r="QIW79" s="278" t="inlineStr"/>
      <c r="QIX79" s="278" t="inlineStr"/>
      <c r="QIY79" s="278" t="inlineStr"/>
      <c r="QIZ79" s="278" t="inlineStr"/>
      <c r="QJA79" s="278" t="inlineStr"/>
      <c r="QJB79" s="278" t="inlineStr"/>
      <c r="QJC79" s="278" t="inlineStr"/>
      <c r="QJD79" s="278" t="inlineStr"/>
      <c r="QJE79" s="278" t="inlineStr"/>
      <c r="QJF79" s="278" t="inlineStr"/>
      <c r="QJG79" s="278" t="inlineStr"/>
      <c r="QJH79" s="278" t="inlineStr"/>
      <c r="QJI79" s="278" t="inlineStr"/>
      <c r="QJJ79" s="278" t="inlineStr"/>
      <c r="QJK79" s="278" t="inlineStr"/>
      <c r="QJL79" s="278" t="inlineStr"/>
      <c r="QJM79" s="278" t="inlineStr"/>
      <c r="QJN79" s="278" t="inlineStr"/>
      <c r="QJO79" s="278" t="inlineStr"/>
      <c r="QJP79" s="278" t="inlineStr"/>
      <c r="QJQ79" s="278" t="inlineStr"/>
      <c r="QJR79" s="278" t="inlineStr"/>
      <c r="QJS79" s="278" t="inlineStr"/>
      <c r="QJT79" s="278" t="inlineStr"/>
      <c r="QJU79" s="278" t="inlineStr"/>
      <c r="QJV79" s="278" t="inlineStr"/>
      <c r="QJW79" s="278" t="inlineStr"/>
      <c r="QJX79" s="278" t="inlineStr"/>
      <c r="QJY79" s="278" t="inlineStr"/>
      <c r="QJZ79" s="278" t="inlineStr"/>
      <c r="QKA79" s="278" t="inlineStr"/>
      <c r="QKB79" s="278" t="inlineStr"/>
      <c r="QKC79" s="278" t="inlineStr"/>
      <c r="QKD79" s="278" t="inlineStr"/>
      <c r="QKE79" s="278" t="inlineStr"/>
      <c r="QKF79" s="278" t="inlineStr"/>
      <c r="QKG79" s="278" t="inlineStr"/>
      <c r="QKH79" s="278" t="inlineStr"/>
      <c r="QKI79" s="278" t="inlineStr"/>
      <c r="QKJ79" s="278" t="inlineStr"/>
      <c r="QKK79" s="278" t="inlineStr"/>
      <c r="QKL79" s="278" t="inlineStr"/>
      <c r="QKM79" s="278" t="inlineStr"/>
      <c r="QKN79" s="278" t="inlineStr"/>
      <c r="QKO79" s="278" t="inlineStr"/>
      <c r="QKP79" s="278" t="inlineStr"/>
      <c r="QKQ79" s="278" t="inlineStr"/>
      <c r="QKR79" s="278" t="inlineStr"/>
      <c r="QKS79" s="278" t="inlineStr"/>
      <c r="QKT79" s="278" t="inlineStr"/>
      <c r="QKU79" s="278" t="inlineStr"/>
      <c r="QKV79" s="278" t="inlineStr"/>
      <c r="QKW79" s="278" t="inlineStr"/>
      <c r="QKX79" s="278" t="inlineStr"/>
      <c r="QKY79" s="278" t="inlineStr"/>
      <c r="QKZ79" s="278" t="inlineStr"/>
      <c r="QLA79" s="278" t="inlineStr"/>
      <c r="QLB79" s="278" t="inlineStr"/>
      <c r="QLC79" s="278" t="inlineStr"/>
      <c r="QLD79" s="278" t="inlineStr"/>
      <c r="QLE79" s="278" t="inlineStr"/>
      <c r="QLF79" s="278" t="inlineStr"/>
      <c r="QLG79" s="278" t="inlineStr"/>
      <c r="QLH79" s="278" t="inlineStr"/>
      <c r="QLI79" s="278" t="inlineStr"/>
      <c r="QLJ79" s="278" t="inlineStr"/>
      <c r="QLK79" s="278" t="inlineStr"/>
      <c r="QLL79" s="278" t="inlineStr"/>
      <c r="QLM79" s="278" t="inlineStr"/>
      <c r="QLN79" s="278" t="inlineStr"/>
      <c r="QLO79" s="278" t="inlineStr"/>
      <c r="QLP79" s="278" t="inlineStr"/>
      <c r="QLQ79" s="278" t="inlineStr"/>
      <c r="QLR79" s="278" t="inlineStr"/>
      <c r="QLS79" s="278" t="inlineStr"/>
      <c r="QLT79" s="278" t="inlineStr"/>
      <c r="QLU79" s="278" t="inlineStr"/>
      <c r="QLV79" s="278" t="inlineStr"/>
      <c r="QLW79" s="278" t="inlineStr"/>
      <c r="QLX79" s="278" t="inlineStr"/>
      <c r="QLY79" s="278" t="inlineStr"/>
      <c r="QLZ79" s="278" t="inlineStr"/>
      <c r="QMA79" s="278" t="inlineStr"/>
      <c r="QMB79" s="278" t="inlineStr"/>
      <c r="QMC79" s="278" t="inlineStr"/>
      <c r="QMD79" s="278" t="inlineStr"/>
      <c r="QME79" s="278" t="inlineStr"/>
      <c r="QMF79" s="278" t="inlineStr"/>
      <c r="QMG79" s="278" t="inlineStr"/>
      <c r="QMH79" s="278" t="inlineStr"/>
      <c r="QMI79" s="278" t="inlineStr"/>
      <c r="QMJ79" s="278" t="inlineStr"/>
      <c r="QMK79" s="278" t="inlineStr"/>
      <c r="QML79" s="278" t="inlineStr"/>
      <c r="QMM79" s="278" t="inlineStr"/>
      <c r="QMN79" s="278" t="inlineStr"/>
      <c r="QMO79" s="278" t="inlineStr"/>
      <c r="QMP79" s="278" t="inlineStr"/>
      <c r="QMQ79" s="278" t="inlineStr"/>
      <c r="QMR79" s="278" t="inlineStr"/>
      <c r="QMS79" s="278" t="inlineStr"/>
      <c r="QMT79" s="278" t="inlineStr"/>
      <c r="QMU79" s="278" t="inlineStr"/>
      <c r="QMV79" s="278" t="inlineStr"/>
      <c r="QMW79" s="278" t="inlineStr"/>
      <c r="QMX79" s="278" t="inlineStr"/>
      <c r="QMY79" s="278" t="inlineStr"/>
      <c r="QMZ79" s="278" t="inlineStr"/>
      <c r="QNA79" s="278" t="inlineStr"/>
      <c r="QNB79" s="278" t="inlineStr"/>
      <c r="QNC79" s="278" t="inlineStr"/>
      <c r="QND79" s="278" t="inlineStr"/>
      <c r="QNE79" s="278" t="inlineStr"/>
      <c r="QNF79" s="278" t="inlineStr"/>
      <c r="QNG79" s="278" t="inlineStr"/>
      <c r="QNH79" s="278" t="inlineStr"/>
      <c r="QNI79" s="278" t="inlineStr"/>
      <c r="QNJ79" s="278" t="inlineStr"/>
      <c r="QNK79" s="278" t="inlineStr"/>
      <c r="QNL79" s="278" t="inlineStr"/>
      <c r="QNM79" s="278" t="inlineStr"/>
      <c r="QNN79" s="278" t="inlineStr"/>
      <c r="QNO79" s="278" t="inlineStr"/>
      <c r="QNP79" s="278" t="inlineStr"/>
      <c r="QNQ79" s="278" t="inlineStr"/>
      <c r="QNR79" s="278" t="inlineStr"/>
      <c r="QNS79" s="278" t="inlineStr"/>
      <c r="QNT79" s="278" t="inlineStr"/>
      <c r="QNU79" s="278" t="inlineStr"/>
      <c r="QNV79" s="278" t="inlineStr"/>
      <c r="QNW79" s="278" t="inlineStr"/>
      <c r="QNX79" s="278" t="inlineStr"/>
      <c r="QNY79" s="278" t="inlineStr"/>
      <c r="QNZ79" s="278" t="inlineStr"/>
      <c r="QOA79" s="278" t="inlineStr"/>
      <c r="QOB79" s="278" t="inlineStr"/>
      <c r="QOC79" s="278" t="inlineStr"/>
      <c r="QOD79" s="278" t="inlineStr"/>
      <c r="QOE79" s="278" t="inlineStr"/>
      <c r="QOF79" s="278" t="inlineStr"/>
      <c r="QOG79" s="278" t="inlineStr"/>
      <c r="QOH79" s="278" t="inlineStr"/>
      <c r="QOI79" s="278" t="inlineStr"/>
      <c r="QOJ79" s="278" t="inlineStr"/>
      <c r="QOK79" s="278" t="inlineStr"/>
      <c r="QOL79" s="278" t="inlineStr"/>
      <c r="QOM79" s="278" t="inlineStr"/>
      <c r="QON79" s="278" t="inlineStr"/>
      <c r="QOO79" s="278" t="inlineStr"/>
      <c r="QOP79" s="278" t="inlineStr"/>
      <c r="QOQ79" s="278" t="inlineStr"/>
      <c r="QOR79" s="278" t="inlineStr"/>
      <c r="QOS79" s="278" t="inlineStr"/>
      <c r="QOT79" s="278" t="inlineStr"/>
      <c r="QOU79" s="278" t="inlineStr"/>
      <c r="QOV79" s="278" t="inlineStr"/>
      <c r="QOW79" s="278" t="inlineStr"/>
      <c r="QOX79" s="278" t="inlineStr"/>
      <c r="QOY79" s="278" t="inlineStr"/>
      <c r="QOZ79" s="278" t="inlineStr"/>
      <c r="QPA79" s="278" t="inlineStr"/>
      <c r="QPB79" s="278" t="inlineStr"/>
      <c r="QPC79" s="278" t="inlineStr"/>
      <c r="QPD79" s="278" t="inlineStr"/>
      <c r="QPE79" s="278" t="inlineStr"/>
      <c r="QPF79" s="278" t="inlineStr"/>
      <c r="QPG79" s="278" t="inlineStr"/>
      <c r="QPH79" s="278" t="inlineStr"/>
      <c r="QPI79" s="278" t="inlineStr"/>
      <c r="QPJ79" s="278" t="inlineStr"/>
      <c r="QPK79" s="278" t="inlineStr"/>
      <c r="QPL79" s="278" t="inlineStr"/>
      <c r="QPM79" s="278" t="inlineStr"/>
      <c r="QPN79" s="278" t="inlineStr"/>
      <c r="QPO79" s="278" t="inlineStr"/>
      <c r="QPP79" s="278" t="inlineStr"/>
      <c r="QPQ79" s="278" t="inlineStr"/>
      <c r="QPR79" s="278" t="inlineStr"/>
      <c r="QPS79" s="278" t="inlineStr"/>
      <c r="QPT79" s="278" t="inlineStr"/>
      <c r="QPU79" s="278" t="inlineStr"/>
      <c r="QPV79" s="278" t="inlineStr"/>
      <c r="QPW79" s="278" t="inlineStr"/>
      <c r="QPX79" s="278" t="inlineStr"/>
      <c r="QPY79" s="278" t="inlineStr"/>
      <c r="QPZ79" s="278" t="inlineStr"/>
      <c r="QQA79" s="278" t="inlineStr"/>
      <c r="QQB79" s="278" t="inlineStr"/>
      <c r="QQC79" s="278" t="inlineStr"/>
      <c r="QQD79" s="278" t="inlineStr"/>
      <c r="QQE79" s="278" t="inlineStr"/>
      <c r="QQF79" s="278" t="inlineStr"/>
      <c r="QQG79" s="278" t="inlineStr"/>
      <c r="QQH79" s="278" t="inlineStr"/>
      <c r="QQI79" s="278" t="inlineStr"/>
      <c r="QQJ79" s="278" t="inlineStr"/>
      <c r="QQK79" s="278" t="inlineStr"/>
      <c r="QQL79" s="278" t="inlineStr"/>
      <c r="QQM79" s="278" t="inlineStr"/>
      <c r="QQN79" s="278" t="inlineStr"/>
      <c r="QQO79" s="278" t="inlineStr"/>
      <c r="QQP79" s="278" t="inlineStr"/>
      <c r="QQQ79" s="278" t="inlineStr"/>
      <c r="QQR79" s="278" t="inlineStr"/>
      <c r="QQS79" s="278" t="inlineStr"/>
      <c r="QQT79" s="278" t="inlineStr"/>
      <c r="QQU79" s="278" t="inlineStr"/>
      <c r="QQV79" s="278" t="inlineStr"/>
      <c r="QQW79" s="278" t="inlineStr"/>
      <c r="QQX79" s="278" t="inlineStr"/>
      <c r="QQY79" s="278" t="inlineStr"/>
      <c r="QQZ79" s="278" t="inlineStr"/>
      <c r="QRA79" s="278" t="inlineStr"/>
      <c r="QRB79" s="278" t="inlineStr"/>
      <c r="QRC79" s="278" t="inlineStr"/>
      <c r="QRD79" s="278" t="inlineStr"/>
      <c r="QRE79" s="278" t="inlineStr"/>
      <c r="QRF79" s="278" t="inlineStr"/>
      <c r="QRG79" s="278" t="inlineStr"/>
      <c r="QRH79" s="278" t="inlineStr"/>
      <c r="QRI79" s="278" t="inlineStr"/>
      <c r="QRJ79" s="278" t="inlineStr"/>
      <c r="QRK79" s="278" t="inlineStr"/>
      <c r="QRL79" s="278" t="inlineStr"/>
      <c r="QRM79" s="278" t="inlineStr"/>
      <c r="QRN79" s="278" t="inlineStr"/>
      <c r="QRO79" s="278" t="inlineStr"/>
      <c r="QRP79" s="278" t="inlineStr"/>
      <c r="QRQ79" s="278" t="inlineStr"/>
      <c r="QRR79" s="278" t="inlineStr"/>
      <c r="QRS79" s="278" t="inlineStr"/>
      <c r="QRT79" s="278" t="inlineStr"/>
      <c r="QRU79" s="278" t="inlineStr"/>
      <c r="QRV79" s="278" t="inlineStr"/>
      <c r="QRW79" s="278" t="inlineStr"/>
      <c r="QRX79" s="278" t="inlineStr"/>
      <c r="QRY79" s="278" t="inlineStr"/>
      <c r="QRZ79" s="278" t="inlineStr"/>
      <c r="QSA79" s="278" t="inlineStr"/>
      <c r="QSB79" s="278" t="inlineStr"/>
      <c r="QSC79" s="278" t="inlineStr"/>
      <c r="QSD79" s="278" t="inlineStr"/>
      <c r="QSE79" s="278" t="inlineStr"/>
      <c r="QSF79" s="278" t="inlineStr"/>
      <c r="QSG79" s="278" t="inlineStr"/>
      <c r="QSH79" s="278" t="inlineStr"/>
      <c r="QSI79" s="278" t="inlineStr"/>
      <c r="QSJ79" s="278" t="inlineStr"/>
      <c r="QSK79" s="278" t="inlineStr"/>
      <c r="QSL79" s="278" t="inlineStr"/>
      <c r="QSM79" s="278" t="inlineStr"/>
      <c r="QSN79" s="278" t="inlineStr"/>
      <c r="QSO79" s="278" t="inlineStr"/>
      <c r="QSP79" s="278" t="inlineStr"/>
      <c r="QSQ79" s="278" t="inlineStr"/>
      <c r="QSR79" s="278" t="inlineStr"/>
      <c r="QSS79" s="278" t="inlineStr"/>
      <c r="QST79" s="278" t="inlineStr"/>
      <c r="QSU79" s="278" t="inlineStr"/>
      <c r="QSV79" s="278" t="inlineStr"/>
      <c r="QSW79" s="278" t="inlineStr"/>
      <c r="QSX79" s="278" t="inlineStr"/>
      <c r="QSY79" s="278" t="inlineStr"/>
      <c r="QSZ79" s="278" t="inlineStr"/>
      <c r="QTA79" s="278" t="inlineStr"/>
      <c r="QTB79" s="278" t="inlineStr"/>
      <c r="QTC79" s="278" t="inlineStr"/>
      <c r="QTD79" s="278" t="inlineStr"/>
      <c r="QTE79" s="278" t="inlineStr"/>
      <c r="QTF79" s="278" t="inlineStr"/>
      <c r="QTG79" s="278" t="inlineStr"/>
      <c r="QTH79" s="278" t="inlineStr"/>
      <c r="QTI79" s="278" t="inlineStr"/>
      <c r="QTJ79" s="278" t="inlineStr"/>
      <c r="QTK79" s="278" t="inlineStr"/>
      <c r="QTL79" s="278" t="inlineStr"/>
      <c r="QTM79" s="278" t="inlineStr"/>
      <c r="QTN79" s="278" t="inlineStr"/>
      <c r="QTO79" s="278" t="inlineStr"/>
      <c r="QTP79" s="278" t="inlineStr"/>
      <c r="QTQ79" s="278" t="inlineStr"/>
      <c r="QTR79" s="278" t="inlineStr"/>
      <c r="QTS79" s="278" t="inlineStr"/>
      <c r="QTT79" s="278" t="inlineStr"/>
      <c r="QTU79" s="278" t="inlineStr"/>
      <c r="QTV79" s="278" t="inlineStr"/>
      <c r="QTW79" s="278" t="inlineStr"/>
      <c r="QTX79" s="278" t="inlineStr"/>
      <c r="QTY79" s="278" t="inlineStr"/>
      <c r="QTZ79" s="278" t="inlineStr"/>
      <c r="QUA79" s="278" t="inlineStr"/>
      <c r="QUB79" s="278" t="inlineStr"/>
      <c r="QUC79" s="278" t="inlineStr"/>
      <c r="QUD79" s="278" t="inlineStr"/>
      <c r="QUE79" s="278" t="inlineStr"/>
      <c r="QUF79" s="278" t="inlineStr"/>
      <c r="QUG79" s="278" t="inlineStr"/>
      <c r="QUH79" s="278" t="inlineStr"/>
      <c r="QUI79" s="278" t="inlineStr"/>
      <c r="QUJ79" s="278" t="inlineStr"/>
      <c r="QUK79" s="278" t="inlineStr"/>
      <c r="QUL79" s="278" t="inlineStr"/>
      <c r="QUM79" s="278" t="inlineStr"/>
      <c r="QUN79" s="278" t="inlineStr"/>
      <c r="QUO79" s="278" t="inlineStr"/>
      <c r="QUP79" s="278" t="inlineStr"/>
      <c r="QUQ79" s="278" t="inlineStr"/>
      <c r="QUR79" s="278" t="inlineStr"/>
      <c r="QUS79" s="278" t="inlineStr"/>
      <c r="QUT79" s="278" t="inlineStr"/>
      <c r="QUU79" s="278" t="inlineStr"/>
      <c r="QUV79" s="278" t="inlineStr"/>
      <c r="QUW79" s="278" t="inlineStr"/>
      <c r="QUX79" s="278" t="inlineStr"/>
      <c r="QUY79" s="278" t="inlineStr"/>
      <c r="QUZ79" s="278" t="inlineStr"/>
      <c r="QVA79" s="278" t="inlineStr"/>
      <c r="QVB79" s="278" t="inlineStr"/>
      <c r="QVC79" s="278" t="inlineStr"/>
      <c r="QVD79" s="278" t="inlineStr"/>
      <c r="QVE79" s="278" t="inlineStr"/>
      <c r="QVF79" s="278" t="inlineStr"/>
      <c r="QVG79" s="278" t="inlineStr"/>
      <c r="QVH79" s="278" t="inlineStr"/>
      <c r="QVI79" s="278" t="inlineStr"/>
      <c r="QVJ79" s="278" t="inlineStr"/>
      <c r="QVK79" s="278" t="inlineStr"/>
      <c r="QVL79" s="278" t="inlineStr"/>
      <c r="QVM79" s="278" t="inlineStr"/>
      <c r="QVN79" s="278" t="inlineStr"/>
      <c r="QVO79" s="278" t="inlineStr"/>
      <c r="QVP79" s="278" t="inlineStr"/>
      <c r="QVQ79" s="278" t="inlineStr"/>
      <c r="QVR79" s="278" t="inlineStr"/>
      <c r="QVS79" s="278" t="inlineStr"/>
      <c r="QVT79" s="278" t="inlineStr"/>
      <c r="QVU79" s="278" t="inlineStr"/>
      <c r="QVV79" s="278" t="inlineStr"/>
      <c r="QVW79" s="278" t="inlineStr"/>
      <c r="QVX79" s="278" t="inlineStr"/>
      <c r="QVY79" s="278" t="inlineStr"/>
      <c r="QVZ79" s="278" t="inlineStr"/>
      <c r="QWA79" s="278" t="inlineStr"/>
      <c r="QWB79" s="278" t="inlineStr"/>
      <c r="QWC79" s="278" t="inlineStr"/>
      <c r="QWD79" s="278" t="inlineStr"/>
      <c r="QWE79" s="278" t="inlineStr"/>
      <c r="QWF79" s="278" t="inlineStr"/>
      <c r="QWG79" s="278" t="inlineStr"/>
      <c r="QWH79" s="278" t="inlineStr"/>
      <c r="QWI79" s="278" t="inlineStr"/>
      <c r="QWJ79" s="278" t="inlineStr"/>
      <c r="QWK79" s="278" t="inlineStr"/>
      <c r="QWL79" s="278" t="inlineStr"/>
      <c r="QWM79" s="278" t="inlineStr"/>
      <c r="QWN79" s="278" t="inlineStr"/>
      <c r="QWO79" s="278" t="inlineStr"/>
      <c r="QWP79" s="278" t="inlineStr"/>
      <c r="QWQ79" s="278" t="inlineStr"/>
      <c r="QWR79" s="278" t="inlineStr"/>
      <c r="QWS79" s="278" t="inlineStr"/>
      <c r="QWT79" s="278" t="inlineStr"/>
      <c r="QWU79" s="278" t="inlineStr"/>
      <c r="QWV79" s="278" t="inlineStr"/>
      <c r="QWW79" s="278" t="inlineStr"/>
      <c r="QWX79" s="278" t="inlineStr"/>
      <c r="QWY79" s="278" t="inlineStr"/>
      <c r="QWZ79" s="278" t="inlineStr"/>
      <c r="QXA79" s="278" t="inlineStr"/>
      <c r="QXB79" s="278" t="inlineStr"/>
      <c r="QXC79" s="278" t="inlineStr"/>
      <c r="QXD79" s="278" t="inlineStr"/>
      <c r="QXE79" s="278" t="inlineStr"/>
      <c r="QXF79" s="278" t="inlineStr"/>
      <c r="QXG79" s="278" t="inlineStr"/>
      <c r="QXH79" s="278" t="inlineStr"/>
      <c r="QXI79" s="278" t="inlineStr"/>
      <c r="QXJ79" s="278" t="inlineStr"/>
      <c r="QXK79" s="278" t="inlineStr"/>
      <c r="QXL79" s="278" t="inlineStr"/>
      <c r="QXM79" s="278" t="inlineStr"/>
      <c r="QXN79" s="278" t="inlineStr"/>
      <c r="QXO79" s="278" t="inlineStr"/>
      <c r="QXP79" s="278" t="inlineStr"/>
      <c r="QXQ79" s="278" t="inlineStr"/>
      <c r="QXR79" s="278" t="inlineStr"/>
      <c r="QXS79" s="278" t="inlineStr"/>
      <c r="QXT79" s="278" t="inlineStr"/>
      <c r="QXU79" s="278" t="inlineStr"/>
      <c r="QXV79" s="278" t="inlineStr"/>
      <c r="QXW79" s="278" t="inlineStr"/>
      <c r="QXX79" s="278" t="inlineStr"/>
      <c r="QXY79" s="278" t="inlineStr"/>
      <c r="QXZ79" s="278" t="inlineStr"/>
      <c r="QYA79" s="278" t="inlineStr"/>
      <c r="QYB79" s="278" t="inlineStr"/>
      <c r="QYC79" s="278" t="inlineStr"/>
      <c r="QYD79" s="278" t="inlineStr"/>
      <c r="QYE79" s="278" t="inlineStr"/>
      <c r="QYF79" s="278" t="inlineStr"/>
      <c r="QYG79" s="278" t="inlineStr"/>
      <c r="QYH79" s="278" t="inlineStr"/>
      <c r="QYI79" s="278" t="inlineStr"/>
      <c r="QYJ79" s="278" t="inlineStr"/>
      <c r="QYK79" s="278" t="inlineStr"/>
      <c r="QYL79" s="278" t="inlineStr"/>
      <c r="QYM79" s="278" t="inlineStr"/>
      <c r="QYN79" s="278" t="inlineStr"/>
      <c r="QYO79" s="278" t="inlineStr"/>
      <c r="QYP79" s="278" t="inlineStr"/>
      <c r="QYQ79" s="278" t="inlineStr"/>
      <c r="QYR79" s="278" t="inlineStr"/>
      <c r="QYS79" s="278" t="inlineStr"/>
      <c r="QYT79" s="278" t="inlineStr"/>
      <c r="QYU79" s="278" t="inlineStr"/>
      <c r="QYV79" s="278" t="inlineStr"/>
      <c r="QYW79" s="278" t="inlineStr"/>
      <c r="QYX79" s="278" t="inlineStr"/>
      <c r="QYY79" s="278" t="inlineStr"/>
      <c r="QYZ79" s="278" t="inlineStr"/>
      <c r="QZA79" s="278" t="inlineStr"/>
      <c r="QZB79" s="278" t="inlineStr"/>
      <c r="QZC79" s="278" t="inlineStr"/>
      <c r="QZD79" s="278" t="inlineStr"/>
      <c r="QZE79" s="278" t="inlineStr"/>
      <c r="QZF79" s="278" t="inlineStr"/>
      <c r="QZG79" s="278" t="inlineStr"/>
      <c r="QZH79" s="278" t="inlineStr"/>
      <c r="QZI79" s="278" t="inlineStr"/>
      <c r="QZJ79" s="278" t="inlineStr"/>
      <c r="QZK79" s="278" t="inlineStr"/>
      <c r="QZL79" s="278" t="inlineStr"/>
      <c r="QZM79" s="278" t="inlineStr"/>
      <c r="QZN79" s="278" t="inlineStr"/>
      <c r="QZO79" s="278" t="inlineStr"/>
      <c r="QZP79" s="278" t="inlineStr"/>
      <c r="QZQ79" s="278" t="inlineStr"/>
      <c r="QZR79" s="278" t="inlineStr"/>
      <c r="QZS79" s="278" t="inlineStr"/>
      <c r="QZT79" s="278" t="inlineStr"/>
      <c r="QZU79" s="278" t="inlineStr"/>
      <c r="QZV79" s="278" t="inlineStr"/>
      <c r="QZW79" s="278" t="inlineStr"/>
      <c r="QZX79" s="278" t="inlineStr"/>
      <c r="QZY79" s="278" t="inlineStr"/>
      <c r="QZZ79" s="278" t="inlineStr"/>
      <c r="RAA79" s="278" t="inlineStr"/>
      <c r="RAB79" s="278" t="inlineStr"/>
      <c r="RAC79" s="278" t="inlineStr"/>
      <c r="RAD79" s="278" t="inlineStr"/>
      <c r="RAE79" s="278" t="inlineStr"/>
      <c r="RAF79" s="278" t="inlineStr"/>
      <c r="RAG79" s="278" t="inlineStr"/>
      <c r="RAH79" s="278" t="inlineStr"/>
      <c r="RAI79" s="278" t="inlineStr"/>
      <c r="RAJ79" s="278" t="inlineStr"/>
      <c r="RAK79" s="278" t="inlineStr"/>
      <c r="RAL79" s="278" t="inlineStr"/>
      <c r="RAM79" s="278" t="inlineStr"/>
      <c r="RAN79" s="278" t="inlineStr"/>
      <c r="RAO79" s="278" t="inlineStr"/>
      <c r="RAP79" s="278" t="inlineStr"/>
      <c r="RAQ79" s="278" t="inlineStr"/>
      <c r="RAR79" s="278" t="inlineStr"/>
      <c r="RAS79" s="278" t="inlineStr"/>
      <c r="RAT79" s="278" t="inlineStr"/>
      <c r="RAU79" s="278" t="inlineStr"/>
      <c r="RAV79" s="278" t="inlineStr"/>
      <c r="RAW79" s="278" t="inlineStr"/>
      <c r="RAX79" s="278" t="inlineStr"/>
      <c r="RAY79" s="278" t="inlineStr"/>
      <c r="RAZ79" s="278" t="inlineStr"/>
      <c r="RBA79" s="278" t="inlineStr"/>
      <c r="RBB79" s="278" t="inlineStr"/>
      <c r="RBC79" s="278" t="inlineStr"/>
      <c r="RBD79" s="278" t="inlineStr"/>
      <c r="RBE79" s="278" t="inlineStr"/>
      <c r="RBF79" s="278" t="inlineStr"/>
      <c r="RBG79" s="278" t="inlineStr"/>
      <c r="RBH79" s="278" t="inlineStr"/>
      <c r="RBI79" s="278" t="inlineStr"/>
      <c r="RBJ79" s="278" t="inlineStr"/>
      <c r="RBK79" s="278" t="inlineStr"/>
      <c r="RBL79" s="278" t="inlineStr"/>
      <c r="RBM79" s="278" t="inlineStr"/>
      <c r="RBN79" s="278" t="inlineStr"/>
      <c r="RBO79" s="278" t="inlineStr"/>
      <c r="RBP79" s="278" t="inlineStr"/>
      <c r="RBQ79" s="278" t="inlineStr"/>
      <c r="RBR79" s="278" t="inlineStr"/>
      <c r="RBS79" s="278" t="inlineStr"/>
      <c r="RBT79" s="278" t="inlineStr"/>
      <c r="RBU79" s="278" t="inlineStr"/>
      <c r="RBV79" s="278" t="inlineStr"/>
      <c r="RBW79" s="278" t="inlineStr"/>
      <c r="RBX79" s="278" t="inlineStr"/>
      <c r="RBY79" s="278" t="inlineStr"/>
      <c r="RBZ79" s="278" t="inlineStr"/>
      <c r="RCA79" s="278" t="inlineStr"/>
      <c r="RCB79" s="278" t="inlineStr"/>
      <c r="RCC79" s="278" t="inlineStr"/>
      <c r="RCD79" s="278" t="inlineStr"/>
      <c r="RCE79" s="278" t="inlineStr"/>
      <c r="RCF79" s="278" t="inlineStr"/>
      <c r="RCG79" s="278" t="inlineStr"/>
      <c r="RCH79" s="278" t="inlineStr"/>
      <c r="RCI79" s="278" t="inlineStr"/>
      <c r="RCJ79" s="278" t="inlineStr"/>
      <c r="RCK79" s="278" t="inlineStr"/>
      <c r="RCL79" s="278" t="inlineStr"/>
      <c r="RCM79" s="278" t="inlineStr"/>
      <c r="RCN79" s="278" t="inlineStr"/>
      <c r="RCO79" s="278" t="inlineStr"/>
      <c r="RCP79" s="278" t="inlineStr"/>
      <c r="RCQ79" s="278" t="inlineStr"/>
      <c r="RCR79" s="278" t="inlineStr"/>
      <c r="RCS79" s="278" t="inlineStr"/>
      <c r="RCT79" s="278" t="inlineStr"/>
      <c r="RCU79" s="278" t="inlineStr"/>
      <c r="RCV79" s="278" t="inlineStr"/>
      <c r="RCW79" s="278" t="inlineStr"/>
      <c r="RCX79" s="278" t="inlineStr"/>
      <c r="RCY79" s="278" t="inlineStr"/>
      <c r="RCZ79" s="278" t="inlineStr"/>
      <c r="RDA79" s="278" t="inlineStr"/>
      <c r="RDB79" s="278" t="inlineStr"/>
      <c r="RDC79" s="278" t="inlineStr"/>
      <c r="RDD79" s="278" t="inlineStr"/>
      <c r="RDE79" s="278" t="inlineStr"/>
      <c r="RDF79" s="278" t="inlineStr"/>
      <c r="RDG79" s="278" t="inlineStr"/>
      <c r="RDH79" s="278" t="inlineStr"/>
      <c r="RDI79" s="278" t="inlineStr"/>
      <c r="RDJ79" s="278" t="inlineStr"/>
      <c r="RDK79" s="278" t="inlineStr"/>
      <c r="RDL79" s="278" t="inlineStr"/>
      <c r="RDM79" s="278" t="inlineStr"/>
      <c r="RDN79" s="278" t="inlineStr"/>
      <c r="RDO79" s="278" t="inlineStr"/>
      <c r="RDP79" s="278" t="inlineStr"/>
      <c r="RDQ79" s="278" t="inlineStr"/>
      <c r="RDR79" s="278" t="inlineStr"/>
      <c r="RDS79" s="278" t="inlineStr"/>
      <c r="RDT79" s="278" t="inlineStr"/>
      <c r="RDU79" s="278" t="inlineStr"/>
      <c r="RDV79" s="278" t="inlineStr"/>
      <c r="RDW79" s="278" t="inlineStr"/>
      <c r="RDX79" s="278" t="inlineStr"/>
      <c r="RDY79" s="278" t="inlineStr"/>
      <c r="RDZ79" s="278" t="inlineStr"/>
      <c r="REA79" s="278" t="inlineStr"/>
      <c r="REB79" s="278" t="inlineStr"/>
      <c r="REC79" s="278" t="inlineStr"/>
      <c r="RED79" s="278" t="inlineStr"/>
      <c r="REE79" s="278" t="inlineStr"/>
      <c r="REF79" s="278" t="inlineStr"/>
      <c r="REG79" s="278" t="inlineStr"/>
      <c r="REH79" s="278" t="inlineStr"/>
      <c r="REI79" s="278" t="inlineStr"/>
      <c r="REJ79" s="278" t="inlineStr"/>
      <c r="REK79" s="278" t="inlineStr"/>
      <c r="REL79" s="278" t="inlineStr"/>
      <c r="REM79" s="278" t="inlineStr"/>
      <c r="REN79" s="278" t="inlineStr"/>
      <c r="REO79" s="278" t="inlineStr"/>
      <c r="REP79" s="278" t="inlineStr"/>
      <c r="REQ79" s="278" t="inlineStr"/>
      <c r="RER79" s="278" t="inlineStr"/>
      <c r="RES79" s="278" t="inlineStr"/>
      <c r="RET79" s="278" t="inlineStr"/>
      <c r="REU79" s="278" t="inlineStr"/>
      <c r="REV79" s="278" t="inlineStr"/>
      <c r="REW79" s="278" t="inlineStr"/>
      <c r="REX79" s="278" t="inlineStr"/>
      <c r="REY79" s="278" t="inlineStr"/>
      <c r="REZ79" s="278" t="inlineStr"/>
      <c r="RFA79" s="278" t="inlineStr"/>
      <c r="RFB79" s="278" t="inlineStr"/>
      <c r="RFC79" s="278" t="inlineStr"/>
      <c r="RFD79" s="278" t="inlineStr"/>
      <c r="RFE79" s="278" t="inlineStr"/>
      <c r="RFF79" s="278" t="inlineStr"/>
      <c r="RFG79" s="278" t="inlineStr"/>
      <c r="RFH79" s="278" t="inlineStr"/>
      <c r="RFI79" s="278" t="inlineStr"/>
      <c r="RFJ79" s="278" t="inlineStr"/>
      <c r="RFK79" s="278" t="inlineStr"/>
      <c r="RFL79" s="278" t="inlineStr"/>
      <c r="RFM79" s="278" t="inlineStr"/>
      <c r="RFN79" s="278" t="inlineStr"/>
      <c r="RFO79" s="278" t="inlineStr"/>
      <c r="RFP79" s="278" t="inlineStr"/>
      <c r="RFQ79" s="278" t="inlineStr"/>
      <c r="RFR79" s="278" t="inlineStr"/>
      <c r="RFS79" s="278" t="inlineStr"/>
      <c r="RFT79" s="278" t="inlineStr"/>
      <c r="RFU79" s="278" t="inlineStr"/>
      <c r="RFV79" s="278" t="inlineStr"/>
      <c r="RFW79" s="278" t="inlineStr"/>
      <c r="RFX79" s="278" t="inlineStr"/>
      <c r="RFY79" s="278" t="inlineStr"/>
      <c r="RFZ79" s="278" t="inlineStr"/>
      <c r="RGA79" s="278" t="inlineStr"/>
      <c r="RGB79" s="278" t="inlineStr"/>
      <c r="RGC79" s="278" t="inlineStr"/>
      <c r="RGD79" s="278" t="inlineStr"/>
      <c r="RGE79" s="278" t="inlineStr"/>
      <c r="RGF79" s="278" t="inlineStr"/>
      <c r="RGG79" s="278" t="inlineStr"/>
      <c r="RGH79" s="278" t="inlineStr"/>
      <c r="RGI79" s="278" t="inlineStr"/>
      <c r="RGJ79" s="278" t="inlineStr"/>
      <c r="RGK79" s="278" t="inlineStr"/>
      <c r="RGL79" s="278" t="inlineStr"/>
      <c r="RGM79" s="278" t="inlineStr"/>
      <c r="RGN79" s="278" t="inlineStr"/>
      <c r="RGO79" s="278" t="inlineStr"/>
      <c r="RGP79" s="278" t="inlineStr"/>
      <c r="RGQ79" s="278" t="inlineStr"/>
      <c r="RGR79" s="278" t="inlineStr"/>
      <c r="RGS79" s="278" t="inlineStr"/>
      <c r="RGT79" s="278" t="inlineStr"/>
      <c r="RGU79" s="278" t="inlineStr"/>
      <c r="RGV79" s="278" t="inlineStr"/>
      <c r="RGW79" s="278" t="inlineStr"/>
      <c r="RGX79" s="278" t="inlineStr"/>
      <c r="RGY79" s="278" t="inlineStr"/>
      <c r="RGZ79" s="278" t="inlineStr"/>
      <c r="RHA79" s="278" t="inlineStr"/>
      <c r="RHB79" s="278" t="inlineStr"/>
      <c r="RHC79" s="278" t="inlineStr"/>
      <c r="RHD79" s="278" t="inlineStr"/>
      <c r="RHE79" s="278" t="inlineStr"/>
      <c r="RHF79" s="278" t="inlineStr"/>
      <c r="RHG79" s="278" t="inlineStr"/>
      <c r="RHH79" s="278" t="inlineStr"/>
      <c r="RHI79" s="278" t="inlineStr"/>
      <c r="RHJ79" s="278" t="inlineStr"/>
      <c r="RHK79" s="278" t="inlineStr"/>
      <c r="RHL79" s="278" t="inlineStr"/>
      <c r="RHM79" s="278" t="inlineStr"/>
      <c r="RHN79" s="278" t="inlineStr"/>
      <c r="RHO79" s="278" t="inlineStr"/>
      <c r="RHP79" s="278" t="inlineStr"/>
      <c r="RHQ79" s="278" t="inlineStr"/>
      <c r="RHR79" s="278" t="inlineStr"/>
      <c r="RHS79" s="278" t="inlineStr"/>
      <c r="RHT79" s="278" t="inlineStr"/>
      <c r="RHU79" s="278" t="inlineStr"/>
      <c r="RHV79" s="278" t="inlineStr"/>
      <c r="RHW79" s="278" t="inlineStr"/>
      <c r="RHX79" s="278" t="inlineStr"/>
      <c r="RHY79" s="278" t="inlineStr"/>
      <c r="RHZ79" s="278" t="inlineStr"/>
      <c r="RIA79" s="278" t="inlineStr"/>
      <c r="RIB79" s="278" t="inlineStr"/>
      <c r="RIC79" s="278" t="inlineStr"/>
      <c r="RID79" s="278" t="inlineStr"/>
      <c r="RIE79" s="278" t="inlineStr"/>
      <c r="RIF79" s="278" t="inlineStr"/>
      <c r="RIG79" s="278" t="inlineStr"/>
      <c r="RIH79" s="278" t="inlineStr"/>
      <c r="RII79" s="278" t="inlineStr"/>
      <c r="RIJ79" s="278" t="inlineStr"/>
      <c r="RIK79" s="278" t="inlineStr"/>
      <c r="RIL79" s="278" t="inlineStr"/>
      <c r="RIM79" s="278" t="inlineStr"/>
      <c r="RIN79" s="278" t="inlineStr"/>
      <c r="RIO79" s="278" t="inlineStr"/>
      <c r="RIP79" s="278" t="inlineStr"/>
      <c r="RIQ79" s="278" t="inlineStr"/>
      <c r="RIR79" s="278" t="inlineStr"/>
      <c r="RIS79" s="278" t="inlineStr"/>
      <c r="RIT79" s="278" t="inlineStr"/>
      <c r="RIU79" s="278" t="inlineStr"/>
      <c r="RIV79" s="278" t="inlineStr"/>
      <c r="RIW79" s="278" t="inlineStr"/>
      <c r="RIX79" s="278" t="inlineStr"/>
      <c r="RIY79" s="278" t="inlineStr"/>
      <c r="RIZ79" s="278" t="inlineStr"/>
      <c r="RJA79" s="278" t="inlineStr"/>
      <c r="RJB79" s="278" t="inlineStr"/>
      <c r="RJC79" s="278" t="inlineStr"/>
      <c r="RJD79" s="278" t="inlineStr"/>
      <c r="RJE79" s="278" t="inlineStr"/>
      <c r="RJF79" s="278" t="inlineStr"/>
      <c r="RJG79" s="278" t="inlineStr"/>
      <c r="RJH79" s="278" t="inlineStr"/>
      <c r="RJI79" s="278" t="inlineStr"/>
      <c r="RJJ79" s="278" t="inlineStr"/>
      <c r="RJK79" s="278" t="inlineStr"/>
      <c r="RJL79" s="278" t="inlineStr"/>
      <c r="RJM79" s="278" t="inlineStr"/>
      <c r="RJN79" s="278" t="inlineStr"/>
      <c r="RJO79" s="278" t="inlineStr"/>
      <c r="RJP79" s="278" t="inlineStr"/>
      <c r="RJQ79" s="278" t="inlineStr"/>
      <c r="RJR79" s="278" t="inlineStr"/>
      <c r="RJS79" s="278" t="inlineStr"/>
      <c r="RJT79" s="278" t="inlineStr"/>
      <c r="RJU79" s="278" t="inlineStr"/>
      <c r="RJV79" s="278" t="inlineStr"/>
      <c r="RJW79" s="278" t="inlineStr"/>
      <c r="RJX79" s="278" t="inlineStr"/>
      <c r="RJY79" s="278" t="inlineStr"/>
      <c r="RJZ79" s="278" t="inlineStr"/>
      <c r="RKA79" s="278" t="inlineStr"/>
      <c r="RKB79" s="278" t="inlineStr"/>
      <c r="RKC79" s="278" t="inlineStr"/>
      <c r="RKD79" s="278" t="inlineStr"/>
      <c r="RKE79" s="278" t="inlineStr"/>
      <c r="RKF79" s="278" t="inlineStr"/>
      <c r="RKG79" s="278" t="inlineStr"/>
      <c r="RKH79" s="278" t="inlineStr"/>
      <c r="RKI79" s="278" t="inlineStr"/>
      <c r="RKJ79" s="278" t="inlineStr"/>
      <c r="RKK79" s="278" t="inlineStr"/>
      <c r="RKL79" s="278" t="inlineStr"/>
      <c r="RKM79" s="278" t="inlineStr"/>
      <c r="RKN79" s="278" t="inlineStr"/>
      <c r="RKO79" s="278" t="inlineStr"/>
      <c r="RKP79" s="278" t="inlineStr"/>
      <c r="RKQ79" s="278" t="inlineStr"/>
      <c r="RKR79" s="278" t="inlineStr"/>
      <c r="RKS79" s="278" t="inlineStr"/>
      <c r="RKT79" s="278" t="inlineStr"/>
      <c r="RKU79" s="278" t="inlineStr"/>
      <c r="RKV79" s="278" t="inlineStr"/>
      <c r="RKW79" s="278" t="inlineStr"/>
      <c r="RKX79" s="278" t="inlineStr"/>
      <c r="RKY79" s="278" t="inlineStr"/>
      <c r="RKZ79" s="278" t="inlineStr"/>
      <c r="RLA79" s="278" t="inlineStr"/>
      <c r="RLB79" s="278" t="inlineStr"/>
      <c r="RLC79" s="278" t="inlineStr"/>
      <c r="RLD79" s="278" t="inlineStr"/>
      <c r="RLE79" s="278" t="inlineStr"/>
      <c r="RLF79" s="278" t="inlineStr"/>
      <c r="RLG79" s="278" t="inlineStr"/>
      <c r="RLH79" s="278" t="inlineStr"/>
      <c r="RLI79" s="278" t="inlineStr"/>
      <c r="RLJ79" s="278" t="inlineStr"/>
      <c r="RLK79" s="278" t="inlineStr"/>
      <c r="RLL79" s="278" t="inlineStr"/>
      <c r="RLM79" s="278" t="inlineStr"/>
      <c r="RLN79" s="278" t="inlineStr"/>
      <c r="RLO79" s="278" t="inlineStr"/>
      <c r="RLP79" s="278" t="inlineStr"/>
      <c r="RLQ79" s="278" t="inlineStr"/>
      <c r="RLR79" s="278" t="inlineStr"/>
      <c r="RLS79" s="278" t="inlineStr"/>
      <c r="RLT79" s="278" t="inlineStr"/>
      <c r="RLU79" s="278" t="inlineStr"/>
      <c r="RLV79" s="278" t="inlineStr"/>
      <c r="RLW79" s="278" t="inlineStr"/>
      <c r="RLX79" s="278" t="inlineStr"/>
      <c r="RLY79" s="278" t="inlineStr"/>
      <c r="RLZ79" s="278" t="inlineStr"/>
      <c r="RMA79" s="278" t="inlineStr"/>
      <c r="RMB79" s="278" t="inlineStr"/>
      <c r="RMC79" s="278" t="inlineStr"/>
      <c r="RMD79" s="278" t="inlineStr"/>
      <c r="RME79" s="278" t="inlineStr"/>
      <c r="RMF79" s="278" t="inlineStr"/>
      <c r="RMG79" s="278" t="inlineStr"/>
      <c r="RMH79" s="278" t="inlineStr"/>
      <c r="RMI79" s="278" t="inlineStr"/>
      <c r="RMJ79" s="278" t="inlineStr"/>
      <c r="RMK79" s="278" t="inlineStr"/>
      <c r="RML79" s="278" t="inlineStr"/>
      <c r="RMM79" s="278" t="inlineStr"/>
      <c r="RMN79" s="278" t="inlineStr"/>
      <c r="RMO79" s="278" t="inlineStr"/>
      <c r="RMP79" s="278" t="inlineStr"/>
      <c r="RMQ79" s="278" t="inlineStr"/>
      <c r="RMR79" s="278" t="inlineStr"/>
      <c r="RMS79" s="278" t="inlineStr"/>
      <c r="RMT79" s="278" t="inlineStr"/>
      <c r="RMU79" s="278" t="inlineStr"/>
      <c r="RMV79" s="278" t="inlineStr"/>
      <c r="RMW79" s="278" t="inlineStr"/>
      <c r="RMX79" s="278" t="inlineStr"/>
      <c r="RMY79" s="278" t="inlineStr"/>
      <c r="RMZ79" s="278" t="inlineStr"/>
      <c r="RNA79" s="278" t="inlineStr"/>
      <c r="RNB79" s="278" t="inlineStr"/>
      <c r="RNC79" s="278" t="inlineStr"/>
      <c r="RND79" s="278" t="inlineStr"/>
      <c r="RNE79" s="278" t="inlineStr"/>
      <c r="RNF79" s="278" t="inlineStr"/>
      <c r="RNG79" s="278" t="inlineStr"/>
      <c r="RNH79" s="278" t="inlineStr"/>
      <c r="RNI79" s="278" t="inlineStr"/>
      <c r="RNJ79" s="278" t="inlineStr"/>
      <c r="RNK79" s="278" t="inlineStr"/>
      <c r="RNL79" s="278" t="inlineStr"/>
      <c r="RNM79" s="278" t="inlineStr"/>
      <c r="RNN79" s="278" t="inlineStr"/>
      <c r="RNO79" s="278" t="inlineStr"/>
      <c r="RNP79" s="278" t="inlineStr"/>
      <c r="RNQ79" s="278" t="inlineStr"/>
      <c r="RNR79" s="278" t="inlineStr"/>
      <c r="RNS79" s="278" t="inlineStr"/>
      <c r="RNT79" s="278" t="inlineStr"/>
      <c r="RNU79" s="278" t="inlineStr"/>
      <c r="RNV79" s="278" t="inlineStr"/>
      <c r="RNW79" s="278" t="inlineStr"/>
      <c r="RNX79" s="278" t="inlineStr"/>
      <c r="RNY79" s="278" t="inlineStr"/>
      <c r="RNZ79" s="278" t="inlineStr"/>
      <c r="ROA79" s="278" t="inlineStr"/>
      <c r="ROB79" s="278" t="inlineStr"/>
      <c r="ROC79" s="278" t="inlineStr"/>
      <c r="ROD79" s="278" t="inlineStr"/>
      <c r="ROE79" s="278" t="inlineStr"/>
      <c r="ROF79" s="278" t="inlineStr"/>
      <c r="ROG79" s="278" t="inlineStr"/>
      <c r="ROH79" s="278" t="inlineStr"/>
      <c r="ROI79" s="278" t="inlineStr"/>
      <c r="ROJ79" s="278" t="inlineStr"/>
      <c r="ROK79" s="278" t="inlineStr"/>
      <c r="ROL79" s="278" t="inlineStr"/>
      <c r="ROM79" s="278" t="inlineStr"/>
      <c r="RON79" s="278" t="inlineStr"/>
      <c r="ROO79" s="278" t="inlineStr"/>
      <c r="ROP79" s="278" t="inlineStr"/>
      <c r="ROQ79" s="278" t="inlineStr"/>
      <c r="ROR79" s="278" t="inlineStr"/>
      <c r="ROS79" s="278" t="inlineStr"/>
      <c r="ROT79" s="278" t="inlineStr"/>
      <c r="ROU79" s="278" t="inlineStr"/>
      <c r="ROV79" s="278" t="inlineStr"/>
      <c r="ROW79" s="278" t="inlineStr"/>
      <c r="ROX79" s="278" t="inlineStr"/>
      <c r="ROY79" s="278" t="inlineStr"/>
      <c r="ROZ79" s="278" t="inlineStr"/>
      <c r="RPA79" s="278" t="inlineStr"/>
      <c r="RPB79" s="278" t="inlineStr"/>
      <c r="RPC79" s="278" t="inlineStr"/>
      <c r="RPD79" s="278" t="inlineStr"/>
      <c r="RPE79" s="278" t="inlineStr"/>
      <c r="RPF79" s="278" t="inlineStr"/>
      <c r="RPG79" s="278" t="inlineStr"/>
      <c r="RPH79" s="278" t="inlineStr"/>
      <c r="RPI79" s="278" t="inlineStr"/>
      <c r="RPJ79" s="278" t="inlineStr"/>
      <c r="RPK79" s="278" t="inlineStr"/>
      <c r="RPL79" s="278" t="inlineStr"/>
      <c r="RPM79" s="278" t="inlineStr"/>
      <c r="RPN79" s="278" t="inlineStr"/>
      <c r="RPO79" s="278" t="inlineStr"/>
      <c r="RPP79" s="278" t="inlineStr"/>
      <c r="RPQ79" s="278" t="inlineStr"/>
      <c r="RPR79" s="278" t="inlineStr"/>
      <c r="RPS79" s="278" t="inlineStr"/>
      <c r="RPT79" s="278" t="inlineStr"/>
      <c r="RPU79" s="278" t="inlineStr"/>
      <c r="RPV79" s="278" t="inlineStr"/>
      <c r="RPW79" s="278" t="inlineStr"/>
      <c r="RPX79" s="278" t="inlineStr"/>
      <c r="RPY79" s="278" t="inlineStr"/>
      <c r="RPZ79" s="278" t="inlineStr"/>
      <c r="RQA79" s="278" t="inlineStr"/>
      <c r="RQB79" s="278" t="inlineStr"/>
      <c r="RQC79" s="278" t="inlineStr"/>
      <c r="RQD79" s="278" t="inlineStr"/>
      <c r="RQE79" s="278" t="inlineStr"/>
      <c r="RQF79" s="278" t="inlineStr"/>
      <c r="RQG79" s="278" t="inlineStr"/>
      <c r="RQH79" s="278" t="inlineStr"/>
      <c r="RQI79" s="278" t="inlineStr"/>
      <c r="RQJ79" s="278" t="inlineStr"/>
      <c r="RQK79" s="278" t="inlineStr"/>
      <c r="RQL79" s="278" t="inlineStr"/>
      <c r="RQM79" s="278" t="inlineStr"/>
      <c r="RQN79" s="278" t="inlineStr"/>
      <c r="RQO79" s="278" t="inlineStr"/>
      <c r="RQP79" s="278" t="inlineStr"/>
      <c r="RQQ79" s="278" t="inlineStr"/>
      <c r="RQR79" s="278" t="inlineStr"/>
      <c r="RQS79" s="278" t="inlineStr"/>
      <c r="RQT79" s="278" t="inlineStr"/>
      <c r="RQU79" s="278" t="inlineStr"/>
      <c r="RQV79" s="278" t="inlineStr"/>
      <c r="RQW79" s="278" t="inlineStr"/>
      <c r="RQX79" s="278" t="inlineStr"/>
      <c r="RQY79" s="278" t="inlineStr"/>
      <c r="RQZ79" s="278" t="inlineStr"/>
      <c r="RRA79" s="278" t="inlineStr"/>
      <c r="RRB79" s="278" t="inlineStr"/>
      <c r="RRC79" s="278" t="inlineStr"/>
      <c r="RRD79" s="278" t="inlineStr"/>
      <c r="RRE79" s="278" t="inlineStr"/>
      <c r="RRF79" s="278" t="inlineStr"/>
      <c r="RRG79" s="278" t="inlineStr"/>
      <c r="RRH79" s="278" t="inlineStr"/>
      <c r="RRI79" s="278" t="inlineStr"/>
      <c r="RRJ79" s="278" t="inlineStr"/>
      <c r="RRK79" s="278" t="inlineStr"/>
      <c r="RRL79" s="278" t="inlineStr"/>
      <c r="RRM79" s="278" t="inlineStr"/>
      <c r="RRN79" s="278" t="inlineStr"/>
      <c r="RRO79" s="278" t="inlineStr"/>
      <c r="RRP79" s="278" t="inlineStr"/>
      <c r="RRQ79" s="278" t="inlineStr"/>
      <c r="RRR79" s="278" t="inlineStr"/>
      <c r="RRS79" s="278" t="inlineStr"/>
      <c r="RRT79" s="278" t="inlineStr"/>
      <c r="RRU79" s="278" t="inlineStr"/>
      <c r="RRV79" s="278" t="inlineStr"/>
      <c r="RRW79" s="278" t="inlineStr"/>
      <c r="RRX79" s="278" t="inlineStr"/>
      <c r="RRY79" s="278" t="inlineStr"/>
      <c r="RRZ79" s="278" t="inlineStr"/>
      <c r="RSA79" s="278" t="inlineStr"/>
      <c r="RSB79" s="278" t="inlineStr"/>
      <c r="RSC79" s="278" t="inlineStr"/>
      <c r="RSD79" s="278" t="inlineStr"/>
      <c r="RSE79" s="278" t="inlineStr"/>
      <c r="RSF79" s="278" t="inlineStr"/>
      <c r="RSG79" s="278" t="inlineStr"/>
      <c r="RSH79" s="278" t="inlineStr"/>
      <c r="RSI79" s="278" t="inlineStr"/>
      <c r="RSJ79" s="278" t="inlineStr"/>
      <c r="RSK79" s="278" t="inlineStr"/>
      <c r="RSL79" s="278" t="inlineStr"/>
      <c r="RSM79" s="278" t="inlineStr"/>
      <c r="RSN79" s="278" t="inlineStr"/>
      <c r="RSO79" s="278" t="inlineStr"/>
      <c r="RSP79" s="278" t="inlineStr"/>
      <c r="RSQ79" s="278" t="inlineStr"/>
      <c r="RSR79" s="278" t="inlineStr"/>
      <c r="RSS79" s="278" t="inlineStr"/>
      <c r="RST79" s="278" t="inlineStr"/>
      <c r="RSU79" s="278" t="inlineStr"/>
      <c r="RSV79" s="278" t="inlineStr"/>
      <c r="RSW79" s="278" t="inlineStr"/>
      <c r="RSX79" s="278" t="inlineStr"/>
      <c r="RSY79" s="278" t="inlineStr"/>
      <c r="RSZ79" s="278" t="inlineStr"/>
      <c r="RTA79" s="278" t="inlineStr"/>
      <c r="RTB79" s="278" t="inlineStr"/>
      <c r="RTC79" s="278" t="inlineStr"/>
      <c r="RTD79" s="278" t="inlineStr"/>
      <c r="RTE79" s="278" t="inlineStr"/>
      <c r="RTF79" s="278" t="inlineStr"/>
      <c r="RTG79" s="278" t="inlineStr"/>
      <c r="RTH79" s="278" t="inlineStr"/>
      <c r="RTI79" s="278" t="inlineStr"/>
      <c r="RTJ79" s="278" t="inlineStr"/>
      <c r="RTK79" s="278" t="inlineStr"/>
      <c r="RTL79" s="278" t="inlineStr"/>
      <c r="RTM79" s="278" t="inlineStr"/>
      <c r="RTN79" s="278" t="inlineStr"/>
      <c r="RTO79" s="278" t="inlineStr"/>
      <c r="RTP79" s="278" t="inlineStr"/>
      <c r="RTQ79" s="278" t="inlineStr"/>
      <c r="RTR79" s="278" t="inlineStr"/>
      <c r="RTS79" s="278" t="inlineStr"/>
      <c r="RTT79" s="278" t="inlineStr"/>
      <c r="RTU79" s="278" t="inlineStr"/>
      <c r="RTV79" s="278" t="inlineStr"/>
      <c r="RTW79" s="278" t="inlineStr"/>
      <c r="RTX79" s="278" t="inlineStr"/>
      <c r="RTY79" s="278" t="inlineStr"/>
      <c r="RTZ79" s="278" t="inlineStr"/>
      <c r="RUA79" s="278" t="inlineStr"/>
      <c r="RUB79" s="278" t="inlineStr"/>
      <c r="RUC79" s="278" t="inlineStr"/>
      <c r="RUD79" s="278" t="inlineStr"/>
      <c r="RUE79" s="278" t="inlineStr"/>
      <c r="RUF79" s="278" t="inlineStr"/>
      <c r="RUG79" s="278" t="inlineStr"/>
      <c r="RUH79" s="278" t="inlineStr"/>
      <c r="RUI79" s="278" t="inlineStr"/>
      <c r="RUJ79" s="278" t="inlineStr"/>
      <c r="RUK79" s="278" t="inlineStr"/>
      <c r="RUL79" s="278" t="inlineStr"/>
      <c r="RUM79" s="278" t="inlineStr"/>
      <c r="RUN79" s="278" t="inlineStr"/>
      <c r="RUO79" s="278" t="inlineStr"/>
      <c r="RUP79" s="278" t="inlineStr"/>
      <c r="RUQ79" s="278" t="inlineStr"/>
      <c r="RUR79" s="278" t="inlineStr"/>
      <c r="RUS79" s="278" t="inlineStr"/>
      <c r="RUT79" s="278" t="inlineStr"/>
      <c r="RUU79" s="278" t="inlineStr"/>
      <c r="RUV79" s="278" t="inlineStr"/>
      <c r="RUW79" s="278" t="inlineStr"/>
      <c r="RUX79" s="278" t="inlineStr"/>
      <c r="RUY79" s="278" t="inlineStr"/>
      <c r="RUZ79" s="278" t="inlineStr"/>
      <c r="RVA79" s="278" t="inlineStr"/>
      <c r="RVB79" s="278" t="inlineStr"/>
      <c r="RVC79" s="278" t="inlineStr"/>
      <c r="RVD79" s="278" t="inlineStr"/>
      <c r="RVE79" s="278" t="inlineStr"/>
      <c r="RVF79" s="278" t="inlineStr"/>
      <c r="RVG79" s="278" t="inlineStr"/>
      <c r="RVH79" s="278" t="inlineStr"/>
      <c r="RVI79" s="278" t="inlineStr"/>
      <c r="RVJ79" s="278" t="inlineStr"/>
      <c r="RVK79" s="278" t="inlineStr"/>
      <c r="RVL79" s="278" t="inlineStr"/>
      <c r="RVM79" s="278" t="inlineStr"/>
      <c r="RVN79" s="278" t="inlineStr"/>
      <c r="RVO79" s="278" t="inlineStr"/>
      <c r="RVP79" s="278" t="inlineStr"/>
      <c r="RVQ79" s="278" t="inlineStr"/>
      <c r="RVR79" s="278" t="inlineStr"/>
      <c r="RVS79" s="278" t="inlineStr"/>
      <c r="RVT79" s="278" t="inlineStr"/>
      <c r="RVU79" s="278" t="inlineStr"/>
      <c r="RVV79" s="278" t="inlineStr"/>
      <c r="RVW79" s="278" t="inlineStr"/>
      <c r="RVX79" s="278" t="inlineStr"/>
      <c r="RVY79" s="278" t="inlineStr"/>
      <c r="RVZ79" s="278" t="inlineStr"/>
      <c r="RWA79" s="278" t="inlineStr"/>
      <c r="RWB79" s="278" t="inlineStr"/>
      <c r="RWC79" s="278" t="inlineStr"/>
      <c r="RWD79" s="278" t="inlineStr"/>
      <c r="RWE79" s="278" t="inlineStr"/>
      <c r="RWF79" s="278" t="inlineStr"/>
      <c r="RWG79" s="278" t="inlineStr"/>
      <c r="RWH79" s="278" t="inlineStr"/>
      <c r="RWI79" s="278" t="inlineStr"/>
      <c r="RWJ79" s="278" t="inlineStr"/>
      <c r="RWK79" s="278" t="inlineStr"/>
      <c r="RWL79" s="278" t="inlineStr"/>
      <c r="RWM79" s="278" t="inlineStr"/>
      <c r="RWN79" s="278" t="inlineStr"/>
      <c r="RWO79" s="278" t="inlineStr"/>
      <c r="RWP79" s="278" t="inlineStr"/>
      <c r="RWQ79" s="278" t="inlineStr"/>
      <c r="RWR79" s="278" t="inlineStr"/>
      <c r="RWS79" s="278" t="inlineStr"/>
      <c r="RWT79" s="278" t="inlineStr"/>
      <c r="RWU79" s="278" t="inlineStr"/>
      <c r="RWV79" s="278" t="inlineStr"/>
      <c r="RWW79" s="278" t="inlineStr"/>
      <c r="RWX79" s="278" t="inlineStr"/>
      <c r="RWY79" s="278" t="inlineStr"/>
      <c r="RWZ79" s="278" t="inlineStr"/>
      <c r="RXA79" s="278" t="inlineStr"/>
      <c r="RXB79" s="278" t="inlineStr"/>
      <c r="RXC79" s="278" t="inlineStr"/>
      <c r="RXD79" s="278" t="inlineStr"/>
      <c r="RXE79" s="278" t="inlineStr"/>
      <c r="RXF79" s="278" t="inlineStr"/>
      <c r="RXG79" s="278" t="inlineStr"/>
      <c r="RXH79" s="278" t="inlineStr"/>
      <c r="RXI79" s="278" t="inlineStr"/>
      <c r="RXJ79" s="278" t="inlineStr"/>
      <c r="RXK79" s="278" t="inlineStr"/>
      <c r="RXL79" s="278" t="inlineStr"/>
      <c r="RXM79" s="278" t="inlineStr"/>
      <c r="RXN79" s="278" t="inlineStr"/>
      <c r="RXO79" s="278" t="inlineStr"/>
      <c r="RXP79" s="278" t="inlineStr"/>
      <c r="RXQ79" s="278" t="inlineStr"/>
      <c r="RXR79" s="278" t="inlineStr"/>
      <c r="RXS79" s="278" t="inlineStr"/>
      <c r="RXT79" s="278" t="inlineStr"/>
      <c r="RXU79" s="278" t="inlineStr"/>
      <c r="RXV79" s="278" t="inlineStr"/>
      <c r="RXW79" s="278" t="inlineStr"/>
      <c r="RXX79" s="278" t="inlineStr"/>
      <c r="RXY79" s="278" t="inlineStr"/>
      <c r="RXZ79" s="278" t="inlineStr"/>
      <c r="RYA79" s="278" t="inlineStr"/>
      <c r="RYB79" s="278" t="inlineStr"/>
      <c r="RYC79" s="278" t="inlineStr"/>
      <c r="RYD79" s="278" t="inlineStr"/>
      <c r="RYE79" s="278" t="inlineStr"/>
      <c r="RYF79" s="278" t="inlineStr"/>
      <c r="RYG79" s="278" t="inlineStr"/>
      <c r="RYH79" s="278" t="inlineStr"/>
      <c r="RYI79" s="278" t="inlineStr"/>
      <c r="RYJ79" s="278" t="inlineStr"/>
      <c r="RYK79" s="278" t="inlineStr"/>
      <c r="RYL79" s="278" t="inlineStr"/>
      <c r="RYM79" s="278" t="inlineStr"/>
      <c r="RYN79" s="278" t="inlineStr"/>
      <c r="RYO79" s="278" t="inlineStr"/>
      <c r="RYP79" s="278" t="inlineStr"/>
      <c r="RYQ79" s="278" t="inlineStr"/>
      <c r="RYR79" s="278" t="inlineStr"/>
      <c r="RYS79" s="278" t="inlineStr"/>
      <c r="RYT79" s="278" t="inlineStr"/>
      <c r="RYU79" s="278" t="inlineStr"/>
      <c r="RYV79" s="278" t="inlineStr"/>
      <c r="RYW79" s="278" t="inlineStr"/>
      <c r="RYX79" s="278" t="inlineStr"/>
      <c r="RYY79" s="278" t="inlineStr"/>
      <c r="RYZ79" s="278" t="inlineStr"/>
      <c r="RZA79" s="278" t="inlineStr"/>
      <c r="RZB79" s="278" t="inlineStr"/>
      <c r="RZC79" s="278" t="inlineStr"/>
      <c r="RZD79" s="278" t="inlineStr"/>
      <c r="RZE79" s="278" t="inlineStr"/>
      <c r="RZF79" s="278" t="inlineStr"/>
      <c r="RZG79" s="278" t="inlineStr"/>
      <c r="RZH79" s="278" t="inlineStr"/>
      <c r="RZI79" s="278" t="inlineStr"/>
      <c r="RZJ79" s="278" t="inlineStr"/>
      <c r="RZK79" s="278" t="inlineStr"/>
      <c r="RZL79" s="278" t="inlineStr"/>
      <c r="RZM79" s="278" t="inlineStr"/>
      <c r="RZN79" s="278" t="inlineStr"/>
      <c r="RZO79" s="278" t="inlineStr"/>
      <c r="RZP79" s="278" t="inlineStr"/>
      <c r="RZQ79" s="278" t="inlineStr"/>
      <c r="RZR79" s="278" t="inlineStr"/>
      <c r="RZS79" s="278" t="inlineStr"/>
      <c r="RZT79" s="278" t="inlineStr"/>
      <c r="RZU79" s="278" t="inlineStr"/>
      <c r="RZV79" s="278" t="inlineStr"/>
      <c r="RZW79" s="278" t="inlineStr"/>
      <c r="RZX79" s="278" t="inlineStr"/>
      <c r="RZY79" s="278" t="inlineStr"/>
      <c r="RZZ79" s="278" t="inlineStr"/>
      <c r="SAA79" s="278" t="inlineStr"/>
      <c r="SAB79" s="278" t="inlineStr"/>
      <c r="SAC79" s="278" t="inlineStr"/>
      <c r="SAD79" s="278" t="inlineStr"/>
      <c r="SAE79" s="278" t="inlineStr"/>
      <c r="SAF79" s="278" t="inlineStr"/>
      <c r="SAG79" s="278" t="inlineStr"/>
      <c r="SAH79" s="278" t="inlineStr"/>
      <c r="SAI79" s="278" t="inlineStr"/>
      <c r="SAJ79" s="278" t="inlineStr"/>
      <c r="SAK79" s="278" t="inlineStr"/>
      <c r="SAL79" s="278" t="inlineStr"/>
      <c r="SAM79" s="278" t="inlineStr"/>
      <c r="SAN79" s="278" t="inlineStr"/>
      <c r="SAO79" s="278" t="inlineStr"/>
      <c r="SAP79" s="278" t="inlineStr"/>
      <c r="SAQ79" s="278" t="inlineStr"/>
      <c r="SAR79" s="278" t="inlineStr"/>
      <c r="SAS79" s="278" t="inlineStr"/>
      <c r="SAT79" s="278" t="inlineStr"/>
      <c r="SAU79" s="278" t="inlineStr"/>
      <c r="SAV79" s="278" t="inlineStr"/>
      <c r="SAW79" s="278" t="inlineStr"/>
      <c r="SAX79" s="278" t="inlineStr"/>
      <c r="SAY79" s="278" t="inlineStr"/>
      <c r="SAZ79" s="278" t="inlineStr"/>
      <c r="SBA79" s="278" t="inlineStr"/>
      <c r="SBB79" s="278" t="inlineStr"/>
      <c r="SBC79" s="278" t="inlineStr"/>
      <c r="SBD79" s="278" t="inlineStr"/>
      <c r="SBE79" s="278" t="inlineStr"/>
      <c r="SBF79" s="278" t="inlineStr"/>
      <c r="SBG79" s="278" t="inlineStr"/>
      <c r="SBH79" s="278" t="inlineStr"/>
      <c r="SBI79" s="278" t="inlineStr"/>
      <c r="SBJ79" s="278" t="inlineStr"/>
      <c r="SBK79" s="278" t="inlineStr"/>
      <c r="SBL79" s="278" t="inlineStr"/>
      <c r="SBM79" s="278" t="inlineStr"/>
      <c r="SBN79" s="278" t="inlineStr"/>
      <c r="SBO79" s="278" t="inlineStr"/>
      <c r="SBP79" s="278" t="inlineStr"/>
      <c r="SBQ79" s="278" t="inlineStr"/>
      <c r="SBR79" s="278" t="inlineStr"/>
      <c r="SBS79" s="278" t="inlineStr"/>
      <c r="SBT79" s="278" t="inlineStr"/>
      <c r="SBU79" s="278" t="inlineStr"/>
      <c r="SBV79" s="278" t="inlineStr"/>
      <c r="SBW79" s="278" t="inlineStr"/>
      <c r="SBX79" s="278" t="inlineStr"/>
      <c r="SBY79" s="278" t="inlineStr"/>
      <c r="SBZ79" s="278" t="inlineStr"/>
      <c r="SCA79" s="278" t="inlineStr"/>
      <c r="SCB79" s="278" t="inlineStr"/>
      <c r="SCC79" s="278" t="inlineStr"/>
      <c r="SCD79" s="278" t="inlineStr"/>
      <c r="SCE79" s="278" t="inlineStr"/>
      <c r="SCF79" s="278" t="inlineStr"/>
      <c r="SCG79" s="278" t="inlineStr"/>
      <c r="SCH79" s="278" t="inlineStr"/>
      <c r="SCI79" s="278" t="inlineStr"/>
      <c r="SCJ79" s="278" t="inlineStr"/>
      <c r="SCK79" s="278" t="inlineStr"/>
      <c r="SCL79" s="278" t="inlineStr"/>
      <c r="SCM79" s="278" t="inlineStr"/>
      <c r="SCN79" s="278" t="inlineStr"/>
      <c r="SCO79" s="278" t="inlineStr"/>
      <c r="SCP79" s="278" t="inlineStr"/>
      <c r="SCQ79" s="278" t="inlineStr"/>
      <c r="SCR79" s="278" t="inlineStr"/>
      <c r="SCS79" s="278" t="inlineStr"/>
      <c r="SCT79" s="278" t="inlineStr"/>
      <c r="SCU79" s="278" t="inlineStr"/>
      <c r="SCV79" s="278" t="inlineStr"/>
      <c r="SCW79" s="278" t="inlineStr"/>
      <c r="SCX79" s="278" t="inlineStr"/>
      <c r="SCY79" s="278" t="inlineStr"/>
      <c r="SCZ79" s="278" t="inlineStr"/>
      <c r="SDA79" s="278" t="inlineStr"/>
      <c r="SDB79" s="278" t="inlineStr"/>
      <c r="SDC79" s="278" t="inlineStr"/>
      <c r="SDD79" s="278" t="inlineStr"/>
      <c r="SDE79" s="278" t="inlineStr"/>
      <c r="SDF79" s="278" t="inlineStr"/>
      <c r="SDG79" s="278" t="inlineStr"/>
      <c r="SDH79" s="278" t="inlineStr"/>
      <c r="SDI79" s="278" t="inlineStr"/>
      <c r="SDJ79" s="278" t="inlineStr"/>
      <c r="SDK79" s="278" t="inlineStr"/>
      <c r="SDL79" s="278" t="inlineStr"/>
      <c r="SDM79" s="278" t="inlineStr"/>
      <c r="SDN79" s="278" t="inlineStr"/>
      <c r="SDO79" s="278" t="inlineStr"/>
      <c r="SDP79" s="278" t="inlineStr"/>
      <c r="SDQ79" s="278" t="inlineStr"/>
      <c r="SDR79" s="278" t="inlineStr"/>
      <c r="SDS79" s="278" t="inlineStr"/>
      <c r="SDT79" s="278" t="inlineStr"/>
      <c r="SDU79" s="278" t="inlineStr"/>
      <c r="SDV79" s="278" t="inlineStr"/>
      <c r="SDW79" s="278" t="inlineStr"/>
      <c r="SDX79" s="278" t="inlineStr"/>
      <c r="SDY79" s="278" t="inlineStr"/>
      <c r="SDZ79" s="278" t="inlineStr"/>
      <c r="SEA79" s="278" t="inlineStr"/>
      <c r="SEB79" s="278" t="inlineStr"/>
      <c r="SEC79" s="278" t="inlineStr"/>
      <c r="SED79" s="278" t="inlineStr"/>
      <c r="SEE79" s="278" t="inlineStr"/>
      <c r="SEF79" s="278" t="inlineStr"/>
      <c r="SEG79" s="278" t="inlineStr"/>
      <c r="SEH79" s="278" t="inlineStr"/>
      <c r="SEI79" s="278" t="inlineStr"/>
      <c r="SEJ79" s="278" t="inlineStr"/>
      <c r="SEK79" s="278" t="inlineStr"/>
      <c r="SEL79" s="278" t="inlineStr"/>
      <c r="SEM79" s="278" t="inlineStr"/>
      <c r="SEN79" s="278" t="inlineStr"/>
      <c r="SEO79" s="278" t="inlineStr"/>
      <c r="SEP79" s="278" t="inlineStr"/>
      <c r="SEQ79" s="278" t="inlineStr"/>
      <c r="SER79" s="278" t="inlineStr"/>
      <c r="SES79" s="278" t="inlineStr"/>
      <c r="SET79" s="278" t="inlineStr"/>
      <c r="SEU79" s="278" t="inlineStr"/>
      <c r="SEV79" s="278" t="inlineStr"/>
      <c r="SEW79" s="278" t="inlineStr"/>
      <c r="SEX79" s="278" t="inlineStr"/>
      <c r="SEY79" s="278" t="inlineStr"/>
      <c r="SEZ79" s="278" t="inlineStr"/>
      <c r="SFA79" s="278" t="inlineStr"/>
      <c r="SFB79" s="278" t="inlineStr"/>
      <c r="SFC79" s="278" t="inlineStr"/>
      <c r="SFD79" s="278" t="inlineStr"/>
      <c r="SFE79" s="278" t="inlineStr"/>
      <c r="SFF79" s="278" t="inlineStr"/>
      <c r="SFG79" s="278" t="inlineStr"/>
      <c r="SFH79" s="278" t="inlineStr"/>
      <c r="SFI79" s="278" t="inlineStr"/>
      <c r="SFJ79" s="278" t="inlineStr"/>
      <c r="SFK79" s="278" t="inlineStr"/>
      <c r="SFL79" s="278" t="inlineStr"/>
      <c r="SFM79" s="278" t="inlineStr"/>
      <c r="SFN79" s="278" t="inlineStr"/>
      <c r="SFO79" s="278" t="inlineStr"/>
      <c r="SFP79" s="278" t="inlineStr"/>
      <c r="SFQ79" s="278" t="inlineStr"/>
      <c r="SFR79" s="278" t="inlineStr"/>
      <c r="SFS79" s="278" t="inlineStr"/>
      <c r="SFT79" s="278" t="inlineStr"/>
      <c r="SFU79" s="278" t="inlineStr"/>
      <c r="SFV79" s="278" t="inlineStr"/>
      <c r="SFW79" s="278" t="inlineStr"/>
      <c r="SFX79" s="278" t="inlineStr"/>
      <c r="SFY79" s="278" t="inlineStr"/>
      <c r="SFZ79" s="278" t="inlineStr"/>
      <c r="SGA79" s="278" t="inlineStr"/>
      <c r="SGB79" s="278" t="inlineStr"/>
      <c r="SGC79" s="278" t="inlineStr"/>
      <c r="SGD79" s="278" t="inlineStr"/>
      <c r="SGE79" s="278" t="inlineStr"/>
      <c r="SGF79" s="278" t="inlineStr"/>
      <c r="SGG79" s="278" t="inlineStr"/>
      <c r="SGH79" s="278" t="inlineStr"/>
      <c r="SGI79" s="278" t="inlineStr"/>
      <c r="SGJ79" s="278" t="inlineStr"/>
      <c r="SGK79" s="278" t="inlineStr"/>
      <c r="SGL79" s="278" t="inlineStr"/>
      <c r="SGM79" s="278" t="inlineStr"/>
      <c r="SGN79" s="278" t="inlineStr"/>
      <c r="SGO79" s="278" t="inlineStr"/>
      <c r="SGP79" s="278" t="inlineStr"/>
      <c r="SGQ79" s="278" t="inlineStr"/>
      <c r="SGR79" s="278" t="inlineStr"/>
      <c r="SGS79" s="278" t="inlineStr"/>
      <c r="SGT79" s="278" t="inlineStr"/>
      <c r="SGU79" s="278" t="inlineStr"/>
      <c r="SGV79" s="278" t="inlineStr"/>
      <c r="SGW79" s="278" t="inlineStr"/>
      <c r="SGX79" s="278" t="inlineStr"/>
      <c r="SGY79" s="278" t="inlineStr"/>
      <c r="SGZ79" s="278" t="inlineStr"/>
      <c r="SHA79" s="278" t="inlineStr"/>
      <c r="SHB79" s="278" t="inlineStr"/>
      <c r="SHC79" s="278" t="inlineStr"/>
      <c r="SHD79" s="278" t="inlineStr"/>
      <c r="SHE79" s="278" t="inlineStr"/>
      <c r="SHF79" s="278" t="inlineStr"/>
      <c r="SHG79" s="278" t="inlineStr"/>
      <c r="SHH79" s="278" t="inlineStr"/>
      <c r="SHI79" s="278" t="inlineStr"/>
      <c r="SHJ79" s="278" t="inlineStr"/>
      <c r="SHK79" s="278" t="inlineStr"/>
      <c r="SHL79" s="278" t="inlineStr"/>
      <c r="SHM79" s="278" t="inlineStr"/>
      <c r="SHN79" s="278" t="inlineStr"/>
      <c r="SHO79" s="278" t="inlineStr"/>
      <c r="SHP79" s="278" t="inlineStr"/>
      <c r="SHQ79" s="278" t="inlineStr"/>
      <c r="SHR79" s="278" t="inlineStr"/>
      <c r="SHS79" s="278" t="inlineStr"/>
      <c r="SHT79" s="278" t="inlineStr"/>
      <c r="SHU79" s="278" t="inlineStr"/>
      <c r="SHV79" s="278" t="inlineStr"/>
      <c r="SHW79" s="278" t="inlineStr"/>
      <c r="SHX79" s="278" t="inlineStr"/>
      <c r="SHY79" s="278" t="inlineStr"/>
      <c r="SHZ79" s="278" t="inlineStr"/>
      <c r="SIA79" s="278" t="inlineStr"/>
      <c r="SIB79" s="278" t="inlineStr"/>
      <c r="SIC79" s="278" t="inlineStr"/>
      <c r="SID79" s="278" t="inlineStr"/>
      <c r="SIE79" s="278" t="inlineStr"/>
      <c r="SIF79" s="278" t="inlineStr"/>
      <c r="SIG79" s="278" t="inlineStr"/>
      <c r="SIH79" s="278" t="inlineStr"/>
      <c r="SII79" s="278" t="inlineStr"/>
      <c r="SIJ79" s="278" t="inlineStr"/>
      <c r="SIK79" s="278" t="inlineStr"/>
      <c r="SIL79" s="278" t="inlineStr"/>
      <c r="SIM79" s="278" t="inlineStr"/>
      <c r="SIN79" s="278" t="inlineStr"/>
      <c r="SIO79" s="278" t="inlineStr"/>
      <c r="SIP79" s="278" t="inlineStr"/>
      <c r="SIQ79" s="278" t="inlineStr"/>
      <c r="SIR79" s="278" t="inlineStr"/>
      <c r="SIS79" s="278" t="inlineStr"/>
      <c r="SIT79" s="278" t="inlineStr"/>
      <c r="SIU79" s="278" t="inlineStr"/>
      <c r="SIV79" s="278" t="inlineStr"/>
      <c r="SIW79" s="278" t="inlineStr"/>
      <c r="SIX79" s="278" t="inlineStr"/>
      <c r="SIY79" s="278" t="inlineStr"/>
      <c r="SIZ79" s="278" t="inlineStr"/>
      <c r="SJA79" s="278" t="inlineStr"/>
      <c r="SJB79" s="278" t="inlineStr"/>
      <c r="SJC79" s="278" t="inlineStr"/>
      <c r="SJD79" s="278" t="inlineStr"/>
      <c r="SJE79" s="278" t="inlineStr"/>
      <c r="SJF79" s="278" t="inlineStr"/>
      <c r="SJG79" s="278" t="inlineStr"/>
      <c r="SJH79" s="278" t="inlineStr"/>
      <c r="SJI79" s="278" t="inlineStr"/>
      <c r="SJJ79" s="278" t="inlineStr"/>
      <c r="SJK79" s="278" t="inlineStr"/>
      <c r="SJL79" s="278" t="inlineStr"/>
      <c r="SJM79" s="278" t="inlineStr"/>
      <c r="SJN79" s="278" t="inlineStr"/>
      <c r="SJO79" s="278" t="inlineStr"/>
      <c r="SJP79" s="278" t="inlineStr"/>
      <c r="SJQ79" s="278" t="inlineStr"/>
      <c r="SJR79" s="278" t="inlineStr"/>
      <c r="SJS79" s="278" t="inlineStr"/>
      <c r="SJT79" s="278" t="inlineStr"/>
      <c r="SJU79" s="278" t="inlineStr"/>
      <c r="SJV79" s="278" t="inlineStr"/>
      <c r="SJW79" s="278" t="inlineStr"/>
      <c r="SJX79" s="278" t="inlineStr"/>
      <c r="SJY79" s="278" t="inlineStr"/>
      <c r="SJZ79" s="278" t="inlineStr"/>
      <c r="SKA79" s="278" t="inlineStr"/>
      <c r="SKB79" s="278" t="inlineStr"/>
      <c r="SKC79" s="278" t="inlineStr"/>
      <c r="SKD79" s="278" t="inlineStr"/>
      <c r="SKE79" s="278" t="inlineStr"/>
      <c r="SKF79" s="278" t="inlineStr"/>
      <c r="SKG79" s="278" t="inlineStr"/>
      <c r="SKH79" s="278" t="inlineStr"/>
      <c r="SKI79" s="278" t="inlineStr"/>
      <c r="SKJ79" s="278" t="inlineStr"/>
      <c r="SKK79" s="278" t="inlineStr"/>
      <c r="SKL79" s="278" t="inlineStr"/>
      <c r="SKM79" s="278" t="inlineStr"/>
      <c r="SKN79" s="278" t="inlineStr"/>
      <c r="SKO79" s="278" t="inlineStr"/>
      <c r="SKP79" s="278" t="inlineStr"/>
      <c r="SKQ79" s="278" t="inlineStr"/>
      <c r="SKR79" s="278" t="inlineStr"/>
      <c r="SKS79" s="278" t="inlineStr"/>
      <c r="SKT79" s="278" t="inlineStr"/>
      <c r="SKU79" s="278" t="inlineStr"/>
      <c r="SKV79" s="278" t="inlineStr"/>
      <c r="SKW79" s="278" t="inlineStr"/>
      <c r="SKX79" s="278" t="inlineStr"/>
      <c r="SKY79" s="278" t="inlineStr"/>
      <c r="SKZ79" s="278" t="inlineStr"/>
      <c r="SLA79" s="278" t="inlineStr"/>
      <c r="SLB79" s="278" t="inlineStr"/>
      <c r="SLC79" s="278" t="inlineStr"/>
      <c r="SLD79" s="278" t="inlineStr"/>
      <c r="SLE79" s="278" t="inlineStr"/>
      <c r="SLF79" s="278" t="inlineStr"/>
      <c r="SLG79" s="278" t="inlineStr"/>
      <c r="SLH79" s="278" t="inlineStr"/>
      <c r="SLI79" s="278" t="inlineStr"/>
      <c r="SLJ79" s="278" t="inlineStr"/>
      <c r="SLK79" s="278" t="inlineStr"/>
      <c r="SLL79" s="278" t="inlineStr"/>
      <c r="SLM79" s="278" t="inlineStr"/>
      <c r="SLN79" s="278" t="inlineStr"/>
      <c r="SLO79" s="278" t="inlineStr"/>
      <c r="SLP79" s="278" t="inlineStr"/>
      <c r="SLQ79" s="278" t="inlineStr"/>
      <c r="SLR79" s="278" t="inlineStr"/>
      <c r="SLS79" s="278" t="inlineStr"/>
      <c r="SLT79" s="278" t="inlineStr"/>
      <c r="SLU79" s="278" t="inlineStr"/>
      <c r="SLV79" s="278" t="inlineStr"/>
      <c r="SLW79" s="278" t="inlineStr"/>
      <c r="SLX79" s="278" t="inlineStr"/>
      <c r="SLY79" s="278" t="inlineStr"/>
      <c r="SLZ79" s="278" t="inlineStr"/>
      <c r="SMA79" s="278" t="inlineStr"/>
      <c r="SMB79" s="278" t="inlineStr"/>
      <c r="SMC79" s="278" t="inlineStr"/>
      <c r="SMD79" s="278" t="inlineStr"/>
      <c r="SME79" s="278" t="inlineStr"/>
      <c r="SMF79" s="278" t="inlineStr"/>
      <c r="SMG79" s="278" t="inlineStr"/>
      <c r="SMH79" s="278" t="inlineStr"/>
      <c r="SMI79" s="278" t="inlineStr"/>
      <c r="SMJ79" s="278" t="inlineStr"/>
      <c r="SMK79" s="278" t="inlineStr"/>
      <c r="SML79" s="278" t="inlineStr"/>
      <c r="SMM79" s="278" t="inlineStr"/>
      <c r="SMN79" s="278" t="inlineStr"/>
      <c r="SMO79" s="278" t="inlineStr"/>
      <c r="SMP79" s="278" t="inlineStr"/>
      <c r="SMQ79" s="278" t="inlineStr"/>
      <c r="SMR79" s="278" t="inlineStr"/>
      <c r="SMS79" s="278" t="inlineStr"/>
      <c r="SMT79" s="278" t="inlineStr"/>
      <c r="SMU79" s="278" t="inlineStr"/>
      <c r="SMV79" s="278" t="inlineStr"/>
      <c r="SMW79" s="278" t="inlineStr"/>
      <c r="SMX79" s="278" t="inlineStr"/>
      <c r="SMY79" s="278" t="inlineStr"/>
      <c r="SMZ79" s="278" t="inlineStr"/>
      <c r="SNA79" s="278" t="inlineStr"/>
      <c r="SNB79" s="278" t="inlineStr"/>
      <c r="SNC79" s="278" t="inlineStr"/>
      <c r="SND79" s="278" t="inlineStr"/>
      <c r="SNE79" s="278" t="inlineStr"/>
      <c r="SNF79" s="278" t="inlineStr"/>
      <c r="SNG79" s="278" t="inlineStr"/>
      <c r="SNH79" s="278" t="inlineStr"/>
      <c r="SNI79" s="278" t="inlineStr"/>
      <c r="SNJ79" s="278" t="inlineStr"/>
      <c r="SNK79" s="278" t="inlineStr"/>
      <c r="SNL79" s="278" t="inlineStr"/>
      <c r="SNM79" s="278" t="inlineStr"/>
      <c r="SNN79" s="278" t="inlineStr"/>
      <c r="SNO79" s="278" t="inlineStr"/>
      <c r="SNP79" s="278" t="inlineStr"/>
      <c r="SNQ79" s="278" t="inlineStr"/>
      <c r="SNR79" s="278" t="inlineStr"/>
      <c r="SNS79" s="278" t="inlineStr"/>
      <c r="SNT79" s="278" t="inlineStr"/>
      <c r="SNU79" s="278" t="inlineStr"/>
      <c r="SNV79" s="278" t="inlineStr"/>
      <c r="SNW79" s="278" t="inlineStr"/>
      <c r="SNX79" s="278" t="inlineStr"/>
      <c r="SNY79" s="278" t="inlineStr"/>
      <c r="SNZ79" s="278" t="inlineStr"/>
      <c r="SOA79" s="278" t="inlineStr"/>
      <c r="SOB79" s="278" t="inlineStr"/>
      <c r="SOC79" s="278" t="inlineStr"/>
      <c r="SOD79" s="278" t="inlineStr"/>
      <c r="SOE79" s="278" t="inlineStr"/>
      <c r="SOF79" s="278" t="inlineStr"/>
      <c r="SOG79" s="278" t="inlineStr"/>
      <c r="SOH79" s="278" t="inlineStr"/>
      <c r="SOI79" s="278" t="inlineStr"/>
      <c r="SOJ79" s="278" t="inlineStr"/>
      <c r="SOK79" s="278" t="inlineStr"/>
      <c r="SOL79" s="278" t="inlineStr"/>
      <c r="SOM79" s="278" t="inlineStr"/>
      <c r="SON79" s="278" t="inlineStr"/>
      <c r="SOO79" s="278" t="inlineStr"/>
      <c r="SOP79" s="278" t="inlineStr"/>
      <c r="SOQ79" s="278" t="inlineStr"/>
      <c r="SOR79" s="278" t="inlineStr"/>
      <c r="SOS79" s="278" t="inlineStr"/>
      <c r="SOT79" s="278" t="inlineStr"/>
      <c r="SOU79" s="278" t="inlineStr"/>
      <c r="SOV79" s="278" t="inlineStr"/>
      <c r="SOW79" s="278" t="inlineStr"/>
      <c r="SOX79" s="278" t="inlineStr"/>
      <c r="SOY79" s="278" t="inlineStr"/>
      <c r="SOZ79" s="278" t="inlineStr"/>
      <c r="SPA79" s="278" t="inlineStr"/>
      <c r="SPB79" s="278" t="inlineStr"/>
      <c r="SPC79" s="278" t="inlineStr"/>
      <c r="SPD79" s="278" t="inlineStr"/>
      <c r="SPE79" s="278" t="inlineStr"/>
      <c r="SPF79" s="278" t="inlineStr"/>
      <c r="SPG79" s="278" t="inlineStr"/>
      <c r="SPH79" s="278" t="inlineStr"/>
      <c r="SPI79" s="278" t="inlineStr"/>
      <c r="SPJ79" s="278" t="inlineStr"/>
      <c r="SPK79" s="278" t="inlineStr"/>
      <c r="SPL79" s="278" t="inlineStr"/>
      <c r="SPM79" s="278" t="inlineStr"/>
      <c r="SPN79" s="278" t="inlineStr"/>
      <c r="SPO79" s="278" t="inlineStr"/>
      <c r="SPP79" s="278" t="inlineStr"/>
      <c r="SPQ79" s="278" t="inlineStr"/>
      <c r="SPR79" s="278" t="inlineStr"/>
      <c r="SPS79" s="278" t="inlineStr"/>
      <c r="SPT79" s="278" t="inlineStr"/>
      <c r="SPU79" s="278" t="inlineStr"/>
      <c r="SPV79" s="278" t="inlineStr"/>
      <c r="SPW79" s="278" t="inlineStr"/>
      <c r="SPX79" s="278" t="inlineStr"/>
      <c r="SPY79" s="278" t="inlineStr"/>
      <c r="SPZ79" s="278" t="inlineStr"/>
      <c r="SQA79" s="278" t="inlineStr"/>
      <c r="SQB79" s="278" t="inlineStr"/>
      <c r="SQC79" s="278" t="inlineStr"/>
      <c r="SQD79" s="278" t="inlineStr"/>
      <c r="SQE79" s="278" t="inlineStr"/>
      <c r="SQF79" s="278" t="inlineStr"/>
      <c r="SQG79" s="278" t="inlineStr"/>
      <c r="SQH79" s="278" t="inlineStr"/>
      <c r="SQI79" s="278" t="inlineStr"/>
      <c r="SQJ79" s="278" t="inlineStr"/>
      <c r="SQK79" s="278" t="inlineStr"/>
      <c r="SQL79" s="278" t="inlineStr"/>
      <c r="SQM79" s="278" t="inlineStr"/>
      <c r="SQN79" s="278" t="inlineStr"/>
      <c r="SQO79" s="278" t="inlineStr"/>
      <c r="SQP79" s="278" t="inlineStr"/>
      <c r="SQQ79" s="278" t="inlineStr"/>
      <c r="SQR79" s="278" t="inlineStr"/>
      <c r="SQS79" s="278" t="inlineStr"/>
      <c r="SQT79" s="278" t="inlineStr"/>
      <c r="SQU79" s="278" t="inlineStr"/>
      <c r="SQV79" s="278" t="inlineStr"/>
      <c r="SQW79" s="278" t="inlineStr"/>
      <c r="SQX79" s="278" t="inlineStr"/>
      <c r="SQY79" s="278" t="inlineStr"/>
      <c r="SQZ79" s="278" t="inlineStr"/>
      <c r="SRA79" s="278" t="inlineStr"/>
      <c r="SRB79" s="278" t="inlineStr"/>
      <c r="SRC79" s="278" t="inlineStr"/>
      <c r="SRD79" s="278" t="inlineStr"/>
      <c r="SRE79" s="278" t="inlineStr"/>
      <c r="SRF79" s="278" t="inlineStr"/>
      <c r="SRG79" s="278" t="inlineStr"/>
      <c r="SRH79" s="278" t="inlineStr"/>
      <c r="SRI79" s="278" t="inlineStr"/>
      <c r="SRJ79" s="278" t="inlineStr"/>
      <c r="SRK79" s="278" t="inlineStr"/>
      <c r="SRL79" s="278" t="inlineStr"/>
      <c r="SRM79" s="278" t="inlineStr"/>
      <c r="SRN79" s="278" t="inlineStr"/>
      <c r="SRO79" s="278" t="inlineStr"/>
      <c r="SRP79" s="278" t="inlineStr"/>
      <c r="SRQ79" s="278" t="inlineStr"/>
      <c r="SRR79" s="278" t="inlineStr"/>
      <c r="SRS79" s="278" t="inlineStr"/>
      <c r="SRT79" s="278" t="inlineStr"/>
      <c r="SRU79" s="278" t="inlineStr"/>
      <c r="SRV79" s="278" t="inlineStr"/>
      <c r="SRW79" s="278" t="inlineStr"/>
      <c r="SRX79" s="278" t="inlineStr"/>
      <c r="SRY79" s="278" t="inlineStr"/>
      <c r="SRZ79" s="278" t="inlineStr"/>
      <c r="SSA79" s="278" t="inlineStr"/>
      <c r="SSB79" s="278" t="inlineStr"/>
      <c r="SSC79" s="278" t="inlineStr"/>
      <c r="SSD79" s="278" t="inlineStr"/>
      <c r="SSE79" s="278" t="inlineStr"/>
      <c r="SSF79" s="278" t="inlineStr"/>
      <c r="SSG79" s="278" t="inlineStr"/>
      <c r="SSH79" s="278" t="inlineStr"/>
      <c r="SSI79" s="278" t="inlineStr"/>
      <c r="SSJ79" s="278" t="inlineStr"/>
      <c r="SSK79" s="278" t="inlineStr"/>
      <c r="SSL79" s="278" t="inlineStr"/>
      <c r="SSM79" s="278" t="inlineStr"/>
      <c r="SSN79" s="278" t="inlineStr"/>
      <c r="SSO79" s="278" t="inlineStr"/>
      <c r="SSP79" s="278" t="inlineStr"/>
      <c r="SSQ79" s="278" t="inlineStr"/>
      <c r="SSR79" s="278" t="inlineStr"/>
      <c r="SSS79" s="278" t="inlineStr"/>
      <c r="SST79" s="278" t="inlineStr"/>
      <c r="SSU79" s="278" t="inlineStr"/>
      <c r="SSV79" s="278" t="inlineStr"/>
      <c r="SSW79" s="278" t="inlineStr"/>
      <c r="SSX79" s="278" t="inlineStr"/>
      <c r="SSY79" s="278" t="inlineStr"/>
      <c r="SSZ79" s="278" t="inlineStr"/>
      <c r="STA79" s="278" t="inlineStr"/>
      <c r="STB79" s="278" t="inlineStr"/>
      <c r="STC79" s="278" t="inlineStr"/>
      <c r="STD79" s="278" t="inlineStr"/>
      <c r="STE79" s="278" t="inlineStr"/>
      <c r="STF79" s="278" t="inlineStr"/>
      <c r="STG79" s="278" t="inlineStr"/>
      <c r="STH79" s="278" t="inlineStr"/>
      <c r="STI79" s="278" t="inlineStr"/>
      <c r="STJ79" s="278" t="inlineStr"/>
      <c r="STK79" s="278" t="inlineStr"/>
      <c r="STL79" s="278" t="inlineStr"/>
      <c r="STM79" s="278" t="inlineStr"/>
      <c r="STN79" s="278" t="inlineStr"/>
      <c r="STO79" s="278" t="inlineStr"/>
      <c r="STP79" s="278" t="inlineStr"/>
      <c r="STQ79" s="278" t="inlineStr"/>
      <c r="STR79" s="278" t="inlineStr"/>
      <c r="STS79" s="278" t="inlineStr"/>
      <c r="STT79" s="278" t="inlineStr"/>
      <c r="STU79" s="278" t="inlineStr"/>
      <c r="STV79" s="278" t="inlineStr"/>
      <c r="STW79" s="278" t="inlineStr"/>
      <c r="STX79" s="278" t="inlineStr"/>
      <c r="STY79" s="278" t="inlineStr"/>
      <c r="STZ79" s="278" t="inlineStr"/>
      <c r="SUA79" s="278" t="inlineStr"/>
      <c r="SUB79" s="278" t="inlineStr"/>
      <c r="SUC79" s="278" t="inlineStr"/>
      <c r="SUD79" s="278" t="inlineStr"/>
      <c r="SUE79" s="278" t="inlineStr"/>
      <c r="SUF79" s="278" t="inlineStr"/>
      <c r="SUG79" s="278" t="inlineStr"/>
      <c r="SUH79" s="278" t="inlineStr"/>
      <c r="SUI79" s="278" t="inlineStr"/>
      <c r="SUJ79" s="278" t="inlineStr"/>
      <c r="SUK79" s="278" t="inlineStr"/>
      <c r="SUL79" s="278" t="inlineStr"/>
      <c r="SUM79" s="278" t="inlineStr"/>
      <c r="SUN79" s="278" t="inlineStr"/>
      <c r="SUO79" s="278" t="inlineStr"/>
      <c r="SUP79" s="278" t="inlineStr"/>
      <c r="SUQ79" s="278" t="inlineStr"/>
      <c r="SUR79" s="278" t="inlineStr"/>
      <c r="SUS79" s="278" t="inlineStr"/>
      <c r="SUT79" s="278" t="inlineStr"/>
      <c r="SUU79" s="278" t="inlineStr"/>
      <c r="SUV79" s="278" t="inlineStr"/>
      <c r="SUW79" s="278" t="inlineStr"/>
      <c r="SUX79" s="278" t="inlineStr"/>
      <c r="SUY79" s="278" t="inlineStr"/>
      <c r="SUZ79" s="278" t="inlineStr"/>
      <c r="SVA79" s="278" t="inlineStr"/>
      <c r="SVB79" s="278" t="inlineStr"/>
      <c r="SVC79" s="278" t="inlineStr"/>
      <c r="SVD79" s="278" t="inlineStr"/>
      <c r="SVE79" s="278" t="inlineStr"/>
      <c r="SVF79" s="278" t="inlineStr"/>
      <c r="SVG79" s="278" t="inlineStr"/>
      <c r="SVH79" s="278" t="inlineStr"/>
      <c r="SVI79" s="278" t="inlineStr"/>
      <c r="SVJ79" s="278" t="inlineStr"/>
      <c r="SVK79" s="278" t="inlineStr"/>
      <c r="SVL79" s="278" t="inlineStr"/>
      <c r="SVM79" s="278" t="inlineStr"/>
      <c r="SVN79" s="278" t="inlineStr"/>
      <c r="SVO79" s="278" t="inlineStr"/>
      <c r="SVP79" s="278" t="inlineStr"/>
      <c r="SVQ79" s="278" t="inlineStr"/>
      <c r="SVR79" s="278" t="inlineStr"/>
      <c r="SVS79" s="278" t="inlineStr"/>
      <c r="SVT79" s="278" t="inlineStr"/>
      <c r="SVU79" s="278" t="inlineStr"/>
      <c r="SVV79" s="278" t="inlineStr"/>
      <c r="SVW79" s="278" t="inlineStr"/>
      <c r="SVX79" s="278" t="inlineStr"/>
      <c r="SVY79" s="278" t="inlineStr"/>
      <c r="SVZ79" s="278" t="inlineStr"/>
      <c r="SWA79" s="278" t="inlineStr"/>
      <c r="SWB79" s="278" t="inlineStr"/>
      <c r="SWC79" s="278" t="inlineStr"/>
      <c r="SWD79" s="278" t="inlineStr"/>
      <c r="SWE79" s="278" t="inlineStr"/>
      <c r="SWF79" s="278" t="inlineStr"/>
      <c r="SWG79" s="278" t="inlineStr"/>
      <c r="SWH79" s="278" t="inlineStr"/>
      <c r="SWI79" s="278" t="inlineStr"/>
      <c r="SWJ79" s="278" t="inlineStr"/>
      <c r="SWK79" s="278" t="inlineStr"/>
      <c r="SWL79" s="278" t="inlineStr"/>
      <c r="SWM79" s="278" t="inlineStr"/>
      <c r="SWN79" s="278" t="inlineStr"/>
      <c r="SWO79" s="278" t="inlineStr"/>
      <c r="SWP79" s="278" t="inlineStr"/>
      <c r="SWQ79" s="278" t="inlineStr"/>
      <c r="SWR79" s="278" t="inlineStr"/>
      <c r="SWS79" s="278" t="inlineStr"/>
      <c r="SWT79" s="278" t="inlineStr"/>
      <c r="SWU79" s="278" t="inlineStr"/>
      <c r="SWV79" s="278" t="inlineStr"/>
      <c r="SWW79" s="278" t="inlineStr"/>
      <c r="SWX79" s="278" t="inlineStr"/>
      <c r="SWY79" s="278" t="inlineStr"/>
      <c r="SWZ79" s="278" t="inlineStr"/>
      <c r="SXA79" s="278" t="inlineStr"/>
      <c r="SXB79" s="278" t="inlineStr"/>
      <c r="SXC79" s="278" t="inlineStr"/>
      <c r="SXD79" s="278" t="inlineStr"/>
      <c r="SXE79" s="278" t="inlineStr"/>
      <c r="SXF79" s="278" t="inlineStr"/>
      <c r="SXG79" s="278" t="inlineStr"/>
      <c r="SXH79" s="278" t="inlineStr"/>
      <c r="SXI79" s="278" t="inlineStr"/>
      <c r="SXJ79" s="278" t="inlineStr"/>
      <c r="SXK79" s="278" t="inlineStr"/>
      <c r="SXL79" s="278" t="inlineStr"/>
      <c r="SXM79" s="278" t="inlineStr"/>
      <c r="SXN79" s="278" t="inlineStr"/>
      <c r="SXO79" s="278" t="inlineStr"/>
      <c r="SXP79" s="278" t="inlineStr"/>
      <c r="SXQ79" s="278" t="inlineStr"/>
      <c r="SXR79" s="278" t="inlineStr"/>
      <c r="SXS79" s="278" t="inlineStr"/>
      <c r="SXT79" s="278" t="inlineStr"/>
      <c r="SXU79" s="278" t="inlineStr"/>
      <c r="SXV79" s="278" t="inlineStr"/>
      <c r="SXW79" s="278" t="inlineStr"/>
      <c r="SXX79" s="278" t="inlineStr"/>
      <c r="SXY79" s="278" t="inlineStr"/>
      <c r="SXZ79" s="278" t="inlineStr"/>
      <c r="SYA79" s="278" t="inlineStr"/>
      <c r="SYB79" s="278" t="inlineStr"/>
      <c r="SYC79" s="278" t="inlineStr"/>
      <c r="SYD79" s="278" t="inlineStr"/>
      <c r="SYE79" s="278" t="inlineStr"/>
      <c r="SYF79" s="278" t="inlineStr"/>
      <c r="SYG79" s="278" t="inlineStr"/>
      <c r="SYH79" s="278" t="inlineStr"/>
      <c r="SYI79" s="278" t="inlineStr"/>
      <c r="SYJ79" s="278" t="inlineStr"/>
      <c r="SYK79" s="278" t="inlineStr"/>
      <c r="SYL79" s="278" t="inlineStr"/>
      <c r="SYM79" s="278" t="inlineStr"/>
      <c r="SYN79" s="278" t="inlineStr"/>
      <c r="SYO79" s="278" t="inlineStr"/>
      <c r="SYP79" s="278" t="inlineStr"/>
      <c r="SYQ79" s="278" t="inlineStr"/>
      <c r="SYR79" s="278" t="inlineStr"/>
      <c r="SYS79" s="278" t="inlineStr"/>
      <c r="SYT79" s="278" t="inlineStr"/>
      <c r="SYU79" s="278" t="inlineStr"/>
      <c r="SYV79" s="278" t="inlineStr"/>
      <c r="SYW79" s="278" t="inlineStr"/>
      <c r="SYX79" s="278" t="inlineStr"/>
      <c r="SYY79" s="278" t="inlineStr"/>
      <c r="SYZ79" s="278" t="inlineStr"/>
      <c r="SZA79" s="278" t="inlineStr"/>
      <c r="SZB79" s="278" t="inlineStr"/>
      <c r="SZC79" s="278" t="inlineStr"/>
      <c r="SZD79" s="278" t="inlineStr"/>
      <c r="SZE79" s="278" t="inlineStr"/>
      <c r="SZF79" s="278" t="inlineStr"/>
      <c r="SZG79" s="278" t="inlineStr"/>
      <c r="SZH79" s="278" t="inlineStr"/>
      <c r="SZI79" s="278" t="inlineStr"/>
      <c r="SZJ79" s="278" t="inlineStr"/>
      <c r="SZK79" s="278" t="inlineStr"/>
      <c r="SZL79" s="278" t="inlineStr"/>
      <c r="SZM79" s="278" t="inlineStr"/>
      <c r="SZN79" s="278" t="inlineStr"/>
      <c r="SZO79" s="278" t="inlineStr"/>
      <c r="SZP79" s="278" t="inlineStr"/>
      <c r="SZQ79" s="278" t="inlineStr"/>
      <c r="SZR79" s="278" t="inlineStr"/>
      <c r="SZS79" s="278" t="inlineStr"/>
      <c r="SZT79" s="278" t="inlineStr"/>
      <c r="SZU79" s="278" t="inlineStr"/>
      <c r="SZV79" s="278" t="inlineStr"/>
      <c r="SZW79" s="278" t="inlineStr"/>
      <c r="SZX79" s="278" t="inlineStr"/>
      <c r="SZY79" s="278" t="inlineStr"/>
      <c r="SZZ79" s="278" t="inlineStr"/>
      <c r="TAA79" s="278" t="inlineStr"/>
      <c r="TAB79" s="278" t="inlineStr"/>
      <c r="TAC79" s="278" t="inlineStr"/>
      <c r="TAD79" s="278" t="inlineStr"/>
      <c r="TAE79" s="278" t="inlineStr"/>
      <c r="TAF79" s="278" t="inlineStr"/>
      <c r="TAG79" s="278" t="inlineStr"/>
      <c r="TAH79" s="278" t="inlineStr"/>
      <c r="TAI79" s="278" t="inlineStr"/>
      <c r="TAJ79" s="278" t="inlineStr"/>
      <c r="TAK79" s="278" t="inlineStr"/>
      <c r="TAL79" s="278" t="inlineStr"/>
      <c r="TAM79" s="278" t="inlineStr"/>
      <c r="TAN79" s="278" t="inlineStr"/>
      <c r="TAO79" s="278" t="inlineStr"/>
      <c r="TAP79" s="278" t="inlineStr"/>
      <c r="TAQ79" s="278" t="inlineStr"/>
      <c r="TAR79" s="278" t="inlineStr"/>
      <c r="TAS79" s="278" t="inlineStr"/>
      <c r="TAT79" s="278" t="inlineStr"/>
      <c r="TAU79" s="278" t="inlineStr"/>
      <c r="TAV79" s="278" t="inlineStr"/>
      <c r="TAW79" s="278" t="inlineStr"/>
      <c r="TAX79" s="278" t="inlineStr"/>
      <c r="TAY79" s="278" t="inlineStr"/>
      <c r="TAZ79" s="278" t="inlineStr"/>
      <c r="TBA79" s="278" t="inlineStr"/>
      <c r="TBB79" s="278" t="inlineStr"/>
      <c r="TBC79" s="278" t="inlineStr"/>
      <c r="TBD79" s="278" t="inlineStr"/>
      <c r="TBE79" s="278" t="inlineStr"/>
      <c r="TBF79" s="278" t="inlineStr"/>
      <c r="TBG79" s="278" t="inlineStr"/>
      <c r="TBH79" s="278" t="inlineStr"/>
      <c r="TBI79" s="278" t="inlineStr"/>
      <c r="TBJ79" s="278" t="inlineStr"/>
      <c r="TBK79" s="278" t="inlineStr"/>
      <c r="TBL79" s="278" t="inlineStr"/>
      <c r="TBM79" s="278" t="inlineStr"/>
      <c r="TBN79" s="278" t="inlineStr"/>
      <c r="TBO79" s="278" t="inlineStr"/>
      <c r="TBP79" s="278" t="inlineStr"/>
      <c r="TBQ79" s="278" t="inlineStr"/>
      <c r="TBR79" s="278" t="inlineStr"/>
      <c r="TBS79" s="278" t="inlineStr"/>
      <c r="TBT79" s="278" t="inlineStr"/>
      <c r="TBU79" s="278" t="inlineStr"/>
      <c r="TBV79" s="278" t="inlineStr"/>
      <c r="TBW79" s="278" t="inlineStr"/>
      <c r="TBX79" s="278" t="inlineStr"/>
      <c r="TBY79" s="278" t="inlineStr"/>
      <c r="TBZ79" s="278" t="inlineStr"/>
      <c r="TCA79" s="278" t="inlineStr"/>
      <c r="TCB79" s="278" t="inlineStr"/>
      <c r="TCC79" s="278" t="inlineStr"/>
      <c r="TCD79" s="278" t="inlineStr"/>
      <c r="TCE79" s="278" t="inlineStr"/>
      <c r="TCF79" s="278" t="inlineStr"/>
      <c r="TCG79" s="278" t="inlineStr"/>
      <c r="TCH79" s="278" t="inlineStr"/>
      <c r="TCI79" s="278" t="inlineStr"/>
      <c r="TCJ79" s="278" t="inlineStr"/>
      <c r="TCK79" s="278" t="inlineStr"/>
      <c r="TCL79" s="278" t="inlineStr"/>
      <c r="TCM79" s="278" t="inlineStr"/>
      <c r="TCN79" s="278" t="inlineStr"/>
      <c r="TCO79" s="278" t="inlineStr"/>
      <c r="TCP79" s="278" t="inlineStr"/>
      <c r="TCQ79" s="278" t="inlineStr"/>
      <c r="TCR79" s="278" t="inlineStr"/>
      <c r="TCS79" s="278" t="inlineStr"/>
      <c r="TCT79" s="278" t="inlineStr"/>
      <c r="TCU79" s="278" t="inlineStr"/>
      <c r="TCV79" s="278" t="inlineStr"/>
      <c r="TCW79" s="278" t="inlineStr"/>
      <c r="TCX79" s="278" t="inlineStr"/>
      <c r="TCY79" s="278" t="inlineStr"/>
      <c r="TCZ79" s="278" t="inlineStr"/>
      <c r="TDA79" s="278" t="inlineStr"/>
      <c r="TDB79" s="278" t="inlineStr"/>
      <c r="TDC79" s="278" t="inlineStr"/>
      <c r="TDD79" s="278" t="inlineStr"/>
      <c r="TDE79" s="278" t="inlineStr"/>
      <c r="TDF79" s="278" t="inlineStr"/>
      <c r="TDG79" s="278" t="inlineStr"/>
      <c r="TDH79" s="278" t="inlineStr"/>
      <c r="TDI79" s="278" t="inlineStr"/>
      <c r="TDJ79" s="278" t="inlineStr"/>
      <c r="TDK79" s="278" t="inlineStr"/>
      <c r="TDL79" s="278" t="inlineStr"/>
      <c r="TDM79" s="278" t="inlineStr"/>
      <c r="TDN79" s="278" t="inlineStr"/>
      <c r="TDO79" s="278" t="inlineStr"/>
      <c r="TDP79" s="278" t="inlineStr"/>
      <c r="TDQ79" s="278" t="inlineStr"/>
      <c r="TDR79" s="278" t="inlineStr"/>
      <c r="TDS79" s="278" t="inlineStr"/>
      <c r="TDT79" s="278" t="inlineStr"/>
      <c r="TDU79" s="278" t="inlineStr"/>
      <c r="TDV79" s="278" t="inlineStr"/>
      <c r="TDW79" s="278" t="inlineStr"/>
      <c r="TDX79" s="278" t="inlineStr"/>
      <c r="TDY79" s="278" t="inlineStr"/>
      <c r="TDZ79" s="278" t="inlineStr"/>
      <c r="TEA79" s="278" t="inlineStr"/>
      <c r="TEB79" s="278" t="inlineStr"/>
      <c r="TEC79" s="278" t="inlineStr"/>
      <c r="TED79" s="278" t="inlineStr"/>
      <c r="TEE79" s="278" t="inlineStr"/>
      <c r="TEF79" s="278" t="inlineStr"/>
      <c r="TEG79" s="278" t="inlineStr"/>
      <c r="TEH79" s="278" t="inlineStr"/>
      <c r="TEI79" s="278" t="inlineStr"/>
      <c r="TEJ79" s="278" t="inlineStr"/>
      <c r="TEK79" s="278" t="inlineStr"/>
      <c r="TEL79" s="278" t="inlineStr"/>
      <c r="TEM79" s="278" t="inlineStr"/>
      <c r="TEN79" s="278" t="inlineStr"/>
      <c r="TEO79" s="278" t="inlineStr"/>
      <c r="TEP79" s="278" t="inlineStr"/>
      <c r="TEQ79" s="278" t="inlineStr"/>
      <c r="TER79" s="278" t="inlineStr"/>
      <c r="TES79" s="278" t="inlineStr"/>
      <c r="TET79" s="278" t="inlineStr"/>
      <c r="TEU79" s="278" t="inlineStr"/>
      <c r="TEV79" s="278" t="inlineStr"/>
      <c r="TEW79" s="278" t="inlineStr"/>
      <c r="TEX79" s="278" t="inlineStr"/>
      <c r="TEY79" s="278" t="inlineStr"/>
      <c r="TEZ79" s="278" t="inlineStr"/>
      <c r="TFA79" s="278" t="inlineStr"/>
      <c r="TFB79" s="278" t="inlineStr"/>
      <c r="TFC79" s="278" t="inlineStr"/>
      <c r="TFD79" s="278" t="inlineStr"/>
      <c r="TFE79" s="278" t="inlineStr"/>
      <c r="TFF79" s="278" t="inlineStr"/>
      <c r="TFG79" s="278" t="inlineStr"/>
      <c r="TFH79" s="278" t="inlineStr"/>
      <c r="TFI79" s="278" t="inlineStr"/>
      <c r="TFJ79" s="278" t="inlineStr"/>
      <c r="TFK79" s="278" t="inlineStr"/>
      <c r="TFL79" s="278" t="inlineStr"/>
      <c r="TFM79" s="278" t="inlineStr"/>
      <c r="TFN79" s="278" t="inlineStr"/>
      <c r="TFO79" s="278" t="inlineStr"/>
      <c r="TFP79" s="278" t="inlineStr"/>
      <c r="TFQ79" s="278" t="inlineStr"/>
      <c r="TFR79" s="278" t="inlineStr"/>
      <c r="TFS79" s="278" t="inlineStr"/>
      <c r="TFT79" s="278" t="inlineStr"/>
      <c r="TFU79" s="278" t="inlineStr"/>
      <c r="TFV79" s="278" t="inlineStr"/>
      <c r="TFW79" s="278" t="inlineStr"/>
      <c r="TFX79" s="278" t="inlineStr"/>
      <c r="TFY79" s="278" t="inlineStr"/>
      <c r="TFZ79" s="278" t="inlineStr"/>
      <c r="TGA79" s="278" t="inlineStr"/>
      <c r="TGB79" s="278" t="inlineStr"/>
      <c r="TGC79" s="278" t="inlineStr"/>
      <c r="TGD79" s="278" t="inlineStr"/>
      <c r="TGE79" s="278" t="inlineStr"/>
      <c r="TGF79" s="278" t="inlineStr"/>
      <c r="TGG79" s="278" t="inlineStr"/>
      <c r="TGH79" s="278" t="inlineStr"/>
      <c r="TGI79" s="278" t="inlineStr"/>
      <c r="TGJ79" s="278" t="inlineStr"/>
      <c r="TGK79" s="278" t="inlineStr"/>
      <c r="TGL79" s="278" t="inlineStr"/>
      <c r="TGM79" s="278" t="inlineStr"/>
      <c r="TGN79" s="278" t="inlineStr"/>
      <c r="TGO79" s="278" t="inlineStr"/>
      <c r="TGP79" s="278" t="inlineStr"/>
      <c r="TGQ79" s="278" t="inlineStr"/>
      <c r="TGR79" s="278" t="inlineStr"/>
      <c r="TGS79" s="278" t="inlineStr"/>
      <c r="TGT79" s="278" t="inlineStr"/>
      <c r="TGU79" s="278" t="inlineStr"/>
      <c r="TGV79" s="278" t="inlineStr"/>
      <c r="TGW79" s="278" t="inlineStr"/>
      <c r="TGX79" s="278" t="inlineStr"/>
      <c r="TGY79" s="278" t="inlineStr"/>
      <c r="TGZ79" s="278" t="inlineStr"/>
      <c r="THA79" s="278" t="inlineStr"/>
      <c r="THB79" s="278" t="inlineStr"/>
      <c r="THC79" s="278" t="inlineStr"/>
      <c r="THD79" s="278" t="inlineStr"/>
      <c r="THE79" s="278" t="inlineStr"/>
      <c r="THF79" s="278" t="inlineStr"/>
      <c r="THG79" s="278" t="inlineStr"/>
      <c r="THH79" s="278" t="inlineStr"/>
      <c r="THI79" s="278" t="inlineStr"/>
      <c r="THJ79" s="278" t="inlineStr"/>
      <c r="THK79" s="278" t="inlineStr"/>
      <c r="THL79" s="278" t="inlineStr"/>
      <c r="THM79" s="278" t="inlineStr"/>
      <c r="THN79" s="278" t="inlineStr"/>
      <c r="THO79" s="278" t="inlineStr"/>
      <c r="THP79" s="278" t="inlineStr"/>
      <c r="THQ79" s="278" t="inlineStr"/>
      <c r="THR79" s="278" t="inlineStr"/>
      <c r="THS79" s="278" t="inlineStr"/>
      <c r="THT79" s="278" t="inlineStr"/>
      <c r="THU79" s="278" t="inlineStr"/>
      <c r="THV79" s="278" t="inlineStr"/>
      <c r="THW79" s="278" t="inlineStr"/>
      <c r="THX79" s="278" t="inlineStr"/>
      <c r="THY79" s="278" t="inlineStr"/>
      <c r="THZ79" s="278" t="inlineStr"/>
      <c r="TIA79" s="278" t="inlineStr"/>
      <c r="TIB79" s="278" t="inlineStr"/>
      <c r="TIC79" s="278" t="inlineStr"/>
      <c r="TID79" s="278" t="inlineStr"/>
      <c r="TIE79" s="278" t="inlineStr"/>
      <c r="TIF79" s="278" t="inlineStr"/>
      <c r="TIG79" s="278" t="inlineStr"/>
      <c r="TIH79" s="278" t="inlineStr"/>
      <c r="TII79" s="278" t="inlineStr"/>
      <c r="TIJ79" s="278" t="inlineStr"/>
      <c r="TIK79" s="278" t="inlineStr"/>
      <c r="TIL79" s="278" t="inlineStr"/>
      <c r="TIM79" s="278" t="inlineStr"/>
      <c r="TIN79" s="278" t="inlineStr"/>
      <c r="TIO79" s="278" t="inlineStr"/>
      <c r="TIP79" s="278" t="inlineStr"/>
      <c r="TIQ79" s="278" t="inlineStr"/>
      <c r="TIR79" s="278" t="inlineStr"/>
      <c r="TIS79" s="278" t="inlineStr"/>
      <c r="TIT79" s="278" t="inlineStr"/>
      <c r="TIU79" s="278" t="inlineStr"/>
      <c r="TIV79" s="278" t="inlineStr"/>
      <c r="TIW79" s="278" t="inlineStr"/>
      <c r="TIX79" s="278" t="inlineStr"/>
      <c r="TIY79" s="278" t="inlineStr"/>
      <c r="TIZ79" s="278" t="inlineStr"/>
      <c r="TJA79" s="278" t="inlineStr"/>
      <c r="TJB79" s="278" t="inlineStr"/>
      <c r="TJC79" s="278" t="inlineStr"/>
      <c r="TJD79" s="278" t="inlineStr"/>
      <c r="TJE79" s="278" t="inlineStr"/>
      <c r="TJF79" s="278" t="inlineStr"/>
      <c r="TJG79" s="278" t="inlineStr"/>
      <c r="TJH79" s="278" t="inlineStr"/>
      <c r="TJI79" s="278" t="inlineStr"/>
      <c r="TJJ79" s="278" t="inlineStr"/>
      <c r="TJK79" s="278" t="inlineStr"/>
      <c r="TJL79" s="278" t="inlineStr"/>
      <c r="TJM79" s="278" t="inlineStr"/>
      <c r="TJN79" s="278" t="inlineStr"/>
      <c r="TJO79" s="278" t="inlineStr"/>
      <c r="TJP79" s="278" t="inlineStr"/>
      <c r="TJQ79" s="278" t="inlineStr"/>
      <c r="TJR79" s="278" t="inlineStr"/>
      <c r="TJS79" s="278" t="inlineStr"/>
      <c r="TJT79" s="278" t="inlineStr"/>
      <c r="TJU79" s="278" t="inlineStr"/>
      <c r="TJV79" s="278" t="inlineStr"/>
      <c r="TJW79" s="278" t="inlineStr"/>
      <c r="TJX79" s="278" t="inlineStr"/>
      <c r="TJY79" s="278" t="inlineStr"/>
      <c r="TJZ79" s="278" t="inlineStr"/>
      <c r="TKA79" s="278" t="inlineStr"/>
      <c r="TKB79" s="278" t="inlineStr"/>
      <c r="TKC79" s="278" t="inlineStr"/>
      <c r="TKD79" s="278" t="inlineStr"/>
      <c r="TKE79" s="278" t="inlineStr"/>
      <c r="TKF79" s="278" t="inlineStr"/>
      <c r="TKG79" s="278" t="inlineStr"/>
      <c r="TKH79" s="278" t="inlineStr"/>
      <c r="TKI79" s="278" t="inlineStr"/>
      <c r="TKJ79" s="278" t="inlineStr"/>
      <c r="TKK79" s="278" t="inlineStr"/>
      <c r="TKL79" s="278" t="inlineStr"/>
      <c r="TKM79" s="278" t="inlineStr"/>
      <c r="TKN79" s="278" t="inlineStr"/>
      <c r="TKO79" s="278" t="inlineStr"/>
      <c r="TKP79" s="278" t="inlineStr"/>
      <c r="TKQ79" s="278" t="inlineStr"/>
      <c r="TKR79" s="278" t="inlineStr"/>
      <c r="TKS79" s="278" t="inlineStr"/>
      <c r="TKT79" s="278" t="inlineStr"/>
      <c r="TKU79" s="278" t="inlineStr"/>
      <c r="TKV79" s="278" t="inlineStr"/>
      <c r="TKW79" s="278" t="inlineStr"/>
      <c r="TKX79" s="278" t="inlineStr"/>
      <c r="TKY79" s="278" t="inlineStr"/>
      <c r="TKZ79" s="278" t="inlineStr"/>
      <c r="TLA79" s="278" t="inlineStr"/>
      <c r="TLB79" s="278" t="inlineStr"/>
      <c r="TLC79" s="278" t="inlineStr"/>
      <c r="TLD79" s="278" t="inlineStr"/>
      <c r="TLE79" s="278" t="inlineStr"/>
      <c r="TLF79" s="278" t="inlineStr"/>
      <c r="TLG79" s="278" t="inlineStr"/>
      <c r="TLH79" s="278" t="inlineStr"/>
      <c r="TLI79" s="278" t="inlineStr"/>
      <c r="TLJ79" s="278" t="inlineStr"/>
      <c r="TLK79" s="278" t="inlineStr"/>
      <c r="TLL79" s="278" t="inlineStr"/>
      <c r="TLM79" s="278" t="inlineStr"/>
      <c r="TLN79" s="278" t="inlineStr"/>
      <c r="TLO79" s="278" t="inlineStr"/>
      <c r="TLP79" s="278" t="inlineStr"/>
      <c r="TLQ79" s="278" t="inlineStr"/>
      <c r="TLR79" s="278" t="inlineStr"/>
      <c r="TLS79" s="278" t="inlineStr"/>
      <c r="TLT79" s="278" t="inlineStr"/>
      <c r="TLU79" s="278" t="inlineStr"/>
      <c r="TLV79" s="278" t="inlineStr"/>
      <c r="TLW79" s="278" t="inlineStr"/>
      <c r="TLX79" s="278" t="inlineStr"/>
      <c r="TLY79" s="278" t="inlineStr"/>
      <c r="TLZ79" s="278" t="inlineStr"/>
      <c r="TMA79" s="278" t="inlineStr"/>
      <c r="TMB79" s="278" t="inlineStr"/>
      <c r="TMC79" s="278" t="inlineStr"/>
      <c r="TMD79" s="278" t="inlineStr"/>
      <c r="TME79" s="278" t="inlineStr"/>
      <c r="TMF79" s="278" t="inlineStr"/>
      <c r="TMG79" s="278" t="inlineStr"/>
      <c r="TMH79" s="278" t="inlineStr"/>
      <c r="TMI79" s="278" t="inlineStr"/>
      <c r="TMJ79" s="278" t="inlineStr"/>
      <c r="TMK79" s="278" t="inlineStr"/>
      <c r="TML79" s="278" t="inlineStr"/>
      <c r="TMM79" s="278" t="inlineStr"/>
      <c r="TMN79" s="278" t="inlineStr"/>
      <c r="TMO79" s="278" t="inlineStr"/>
      <c r="TMP79" s="278" t="inlineStr"/>
      <c r="TMQ79" s="278" t="inlineStr"/>
      <c r="TMR79" s="278" t="inlineStr"/>
      <c r="TMS79" s="278" t="inlineStr"/>
      <c r="TMT79" s="278" t="inlineStr"/>
      <c r="TMU79" s="278" t="inlineStr"/>
      <c r="TMV79" s="278" t="inlineStr"/>
      <c r="TMW79" s="278" t="inlineStr"/>
      <c r="TMX79" s="278" t="inlineStr"/>
      <c r="TMY79" s="278" t="inlineStr"/>
      <c r="TMZ79" s="278" t="inlineStr"/>
      <c r="TNA79" s="278" t="inlineStr"/>
      <c r="TNB79" s="278" t="inlineStr"/>
      <c r="TNC79" s="278" t="inlineStr"/>
      <c r="TND79" s="278" t="inlineStr"/>
      <c r="TNE79" s="278" t="inlineStr"/>
      <c r="TNF79" s="278" t="inlineStr"/>
      <c r="TNG79" s="278" t="inlineStr"/>
      <c r="TNH79" s="278" t="inlineStr"/>
      <c r="TNI79" s="278" t="inlineStr"/>
      <c r="TNJ79" s="278" t="inlineStr"/>
      <c r="TNK79" s="278" t="inlineStr"/>
      <c r="TNL79" s="278" t="inlineStr"/>
      <c r="TNM79" s="278" t="inlineStr"/>
      <c r="TNN79" s="278" t="inlineStr"/>
      <c r="TNO79" s="278" t="inlineStr"/>
      <c r="TNP79" s="278" t="inlineStr"/>
      <c r="TNQ79" s="278" t="inlineStr"/>
      <c r="TNR79" s="278" t="inlineStr"/>
      <c r="TNS79" s="278" t="inlineStr"/>
      <c r="TNT79" s="278" t="inlineStr"/>
      <c r="TNU79" s="278" t="inlineStr"/>
      <c r="TNV79" s="278" t="inlineStr"/>
      <c r="TNW79" s="278" t="inlineStr"/>
      <c r="TNX79" s="278" t="inlineStr"/>
      <c r="TNY79" s="278" t="inlineStr"/>
      <c r="TNZ79" s="278" t="inlineStr"/>
      <c r="TOA79" s="278" t="inlineStr"/>
      <c r="TOB79" s="278" t="inlineStr"/>
      <c r="TOC79" s="278" t="inlineStr"/>
      <c r="TOD79" s="278" t="inlineStr"/>
      <c r="TOE79" s="278" t="inlineStr"/>
      <c r="TOF79" s="278" t="inlineStr"/>
      <c r="TOG79" s="278" t="inlineStr"/>
      <c r="TOH79" s="278" t="inlineStr"/>
      <c r="TOI79" s="278" t="inlineStr"/>
      <c r="TOJ79" s="278" t="inlineStr"/>
      <c r="TOK79" s="278" t="inlineStr"/>
      <c r="TOL79" s="278" t="inlineStr"/>
      <c r="TOM79" s="278" t="inlineStr"/>
      <c r="TON79" s="278" t="inlineStr"/>
      <c r="TOO79" s="278" t="inlineStr"/>
      <c r="TOP79" s="278" t="inlineStr"/>
      <c r="TOQ79" s="278" t="inlineStr"/>
      <c r="TOR79" s="278" t="inlineStr"/>
      <c r="TOS79" s="278" t="inlineStr"/>
      <c r="TOT79" s="278" t="inlineStr"/>
      <c r="TOU79" s="278" t="inlineStr"/>
      <c r="TOV79" s="278" t="inlineStr"/>
      <c r="TOW79" s="278" t="inlineStr"/>
      <c r="TOX79" s="278" t="inlineStr"/>
      <c r="TOY79" s="278" t="inlineStr"/>
      <c r="TOZ79" s="278" t="inlineStr"/>
      <c r="TPA79" s="278" t="inlineStr"/>
      <c r="TPB79" s="278" t="inlineStr"/>
      <c r="TPC79" s="278" t="inlineStr"/>
      <c r="TPD79" s="278" t="inlineStr"/>
      <c r="TPE79" s="278" t="inlineStr"/>
      <c r="TPF79" s="278" t="inlineStr"/>
      <c r="TPG79" s="278" t="inlineStr"/>
      <c r="TPH79" s="278" t="inlineStr"/>
      <c r="TPI79" s="278" t="inlineStr"/>
      <c r="TPJ79" s="278" t="inlineStr"/>
      <c r="TPK79" s="278" t="inlineStr"/>
      <c r="TPL79" s="278" t="inlineStr"/>
      <c r="TPM79" s="278" t="inlineStr"/>
      <c r="TPN79" s="278" t="inlineStr"/>
      <c r="TPO79" s="278" t="inlineStr"/>
      <c r="TPP79" s="278" t="inlineStr"/>
      <c r="TPQ79" s="278" t="inlineStr"/>
      <c r="TPR79" s="278" t="inlineStr"/>
      <c r="TPS79" s="278" t="inlineStr"/>
      <c r="TPT79" s="278" t="inlineStr"/>
      <c r="TPU79" s="278" t="inlineStr"/>
      <c r="TPV79" s="278" t="inlineStr"/>
      <c r="TPW79" s="278" t="inlineStr"/>
      <c r="TPX79" s="278" t="inlineStr"/>
      <c r="TPY79" s="278" t="inlineStr"/>
      <c r="TPZ79" s="278" t="inlineStr"/>
      <c r="TQA79" s="278" t="inlineStr"/>
      <c r="TQB79" s="278" t="inlineStr"/>
      <c r="TQC79" s="278" t="inlineStr"/>
      <c r="TQD79" s="278" t="inlineStr"/>
      <c r="TQE79" s="278" t="inlineStr"/>
      <c r="TQF79" s="278" t="inlineStr"/>
      <c r="TQG79" s="278" t="inlineStr"/>
      <c r="TQH79" s="278" t="inlineStr"/>
      <c r="TQI79" s="278" t="inlineStr"/>
      <c r="TQJ79" s="278" t="inlineStr"/>
      <c r="TQK79" s="278" t="inlineStr"/>
      <c r="TQL79" s="278" t="inlineStr"/>
      <c r="TQM79" s="278" t="inlineStr"/>
      <c r="TQN79" s="278" t="inlineStr"/>
      <c r="TQO79" s="278" t="inlineStr"/>
      <c r="TQP79" s="278" t="inlineStr"/>
      <c r="TQQ79" s="278" t="inlineStr"/>
      <c r="TQR79" s="278" t="inlineStr"/>
      <c r="TQS79" s="278" t="inlineStr"/>
      <c r="TQT79" s="278" t="inlineStr"/>
      <c r="TQU79" s="278" t="inlineStr"/>
      <c r="TQV79" s="278" t="inlineStr"/>
      <c r="TQW79" s="278" t="inlineStr"/>
      <c r="TQX79" s="278" t="inlineStr"/>
      <c r="TQY79" s="278" t="inlineStr"/>
      <c r="TQZ79" s="278" t="inlineStr"/>
      <c r="TRA79" s="278" t="inlineStr"/>
      <c r="TRB79" s="278" t="inlineStr"/>
      <c r="TRC79" s="278" t="inlineStr"/>
      <c r="TRD79" s="278" t="inlineStr"/>
      <c r="TRE79" s="278" t="inlineStr"/>
      <c r="TRF79" s="278" t="inlineStr"/>
      <c r="TRG79" s="278" t="inlineStr"/>
      <c r="TRH79" s="278" t="inlineStr"/>
      <c r="TRI79" s="278" t="inlineStr"/>
      <c r="TRJ79" s="278" t="inlineStr"/>
      <c r="TRK79" s="278" t="inlineStr"/>
      <c r="TRL79" s="278" t="inlineStr"/>
      <c r="TRM79" s="278" t="inlineStr"/>
      <c r="TRN79" s="278" t="inlineStr"/>
      <c r="TRO79" s="278" t="inlineStr"/>
      <c r="TRP79" s="278" t="inlineStr"/>
      <c r="TRQ79" s="278" t="inlineStr"/>
      <c r="TRR79" s="278" t="inlineStr"/>
      <c r="TRS79" s="278" t="inlineStr"/>
      <c r="TRT79" s="278" t="inlineStr"/>
      <c r="TRU79" s="278" t="inlineStr"/>
      <c r="TRV79" s="278" t="inlineStr"/>
      <c r="TRW79" s="278" t="inlineStr"/>
      <c r="TRX79" s="278" t="inlineStr"/>
      <c r="TRY79" s="278" t="inlineStr"/>
      <c r="TRZ79" s="278" t="inlineStr"/>
      <c r="TSA79" s="278" t="inlineStr"/>
      <c r="TSB79" s="278" t="inlineStr"/>
      <c r="TSC79" s="278" t="inlineStr"/>
      <c r="TSD79" s="278" t="inlineStr"/>
      <c r="TSE79" s="278" t="inlineStr"/>
      <c r="TSF79" s="278" t="inlineStr"/>
      <c r="TSG79" s="278" t="inlineStr"/>
      <c r="TSH79" s="278" t="inlineStr"/>
      <c r="TSI79" s="278" t="inlineStr"/>
      <c r="TSJ79" s="278" t="inlineStr"/>
      <c r="TSK79" s="278" t="inlineStr"/>
      <c r="TSL79" s="278" t="inlineStr"/>
      <c r="TSM79" s="278" t="inlineStr"/>
      <c r="TSN79" s="278" t="inlineStr"/>
      <c r="TSO79" s="278" t="inlineStr"/>
      <c r="TSP79" s="278" t="inlineStr"/>
      <c r="TSQ79" s="278" t="inlineStr"/>
      <c r="TSR79" s="278" t="inlineStr"/>
      <c r="TSS79" s="278" t="inlineStr"/>
      <c r="TST79" s="278" t="inlineStr"/>
      <c r="TSU79" s="278" t="inlineStr"/>
      <c r="TSV79" s="278" t="inlineStr"/>
      <c r="TSW79" s="278" t="inlineStr"/>
      <c r="TSX79" s="278" t="inlineStr"/>
      <c r="TSY79" s="278" t="inlineStr"/>
      <c r="TSZ79" s="278" t="inlineStr"/>
      <c r="TTA79" s="278" t="inlineStr"/>
      <c r="TTB79" s="278" t="inlineStr"/>
      <c r="TTC79" s="278" t="inlineStr"/>
      <c r="TTD79" s="278" t="inlineStr"/>
      <c r="TTE79" s="278" t="inlineStr"/>
      <c r="TTF79" s="278" t="inlineStr"/>
      <c r="TTG79" s="278" t="inlineStr"/>
      <c r="TTH79" s="278" t="inlineStr"/>
      <c r="TTI79" s="278" t="inlineStr"/>
      <c r="TTJ79" s="278" t="inlineStr"/>
      <c r="TTK79" s="278" t="inlineStr"/>
      <c r="TTL79" s="278" t="inlineStr"/>
      <c r="TTM79" s="278" t="inlineStr"/>
      <c r="TTN79" s="278" t="inlineStr"/>
      <c r="TTO79" s="278" t="inlineStr"/>
      <c r="TTP79" s="278" t="inlineStr"/>
      <c r="TTQ79" s="278" t="inlineStr"/>
      <c r="TTR79" s="278" t="inlineStr"/>
      <c r="TTS79" s="278" t="inlineStr"/>
      <c r="TTT79" s="278" t="inlineStr"/>
      <c r="TTU79" s="278" t="inlineStr"/>
      <c r="TTV79" s="278" t="inlineStr"/>
      <c r="TTW79" s="278" t="inlineStr"/>
      <c r="TTX79" s="278" t="inlineStr"/>
      <c r="TTY79" s="278" t="inlineStr"/>
      <c r="TTZ79" s="278" t="inlineStr"/>
      <c r="TUA79" s="278" t="inlineStr"/>
      <c r="TUB79" s="278" t="inlineStr"/>
      <c r="TUC79" s="278" t="inlineStr"/>
      <c r="TUD79" s="278" t="inlineStr"/>
      <c r="TUE79" s="278" t="inlineStr"/>
      <c r="TUF79" s="278" t="inlineStr"/>
      <c r="TUG79" s="278" t="inlineStr"/>
      <c r="TUH79" s="278" t="inlineStr"/>
      <c r="TUI79" s="278" t="inlineStr"/>
      <c r="TUJ79" s="278" t="inlineStr"/>
      <c r="TUK79" s="278" t="inlineStr"/>
      <c r="TUL79" s="278" t="inlineStr"/>
      <c r="TUM79" s="278" t="inlineStr"/>
      <c r="TUN79" s="278" t="inlineStr"/>
      <c r="TUO79" s="278" t="inlineStr"/>
      <c r="TUP79" s="278" t="inlineStr"/>
      <c r="TUQ79" s="278" t="inlineStr"/>
      <c r="TUR79" s="278" t="inlineStr"/>
      <c r="TUS79" s="278" t="inlineStr"/>
      <c r="TUT79" s="278" t="inlineStr"/>
      <c r="TUU79" s="278" t="inlineStr"/>
      <c r="TUV79" s="278" t="inlineStr"/>
      <c r="TUW79" s="278" t="inlineStr"/>
      <c r="TUX79" s="278" t="inlineStr"/>
      <c r="TUY79" s="278" t="inlineStr"/>
      <c r="TUZ79" s="278" t="inlineStr"/>
      <c r="TVA79" s="278" t="inlineStr"/>
      <c r="TVB79" s="278" t="inlineStr"/>
      <c r="TVC79" s="278" t="inlineStr"/>
      <c r="TVD79" s="278" t="inlineStr"/>
      <c r="TVE79" s="278" t="inlineStr"/>
      <c r="TVF79" s="278" t="inlineStr"/>
      <c r="TVG79" s="278" t="inlineStr"/>
      <c r="TVH79" s="278" t="inlineStr"/>
      <c r="TVI79" s="278" t="inlineStr"/>
      <c r="TVJ79" s="278" t="inlineStr"/>
      <c r="TVK79" s="278" t="inlineStr"/>
      <c r="TVL79" s="278" t="inlineStr"/>
      <c r="TVM79" s="278" t="inlineStr"/>
      <c r="TVN79" s="278" t="inlineStr"/>
      <c r="TVO79" s="278" t="inlineStr"/>
      <c r="TVP79" s="278" t="inlineStr"/>
      <c r="TVQ79" s="278" t="inlineStr"/>
      <c r="TVR79" s="278" t="inlineStr"/>
      <c r="TVS79" s="278" t="inlineStr"/>
      <c r="TVT79" s="278" t="inlineStr"/>
      <c r="TVU79" s="278" t="inlineStr"/>
      <c r="TVV79" s="278" t="inlineStr"/>
      <c r="TVW79" s="278" t="inlineStr"/>
      <c r="TVX79" s="278" t="inlineStr"/>
      <c r="TVY79" s="278" t="inlineStr"/>
      <c r="TVZ79" s="278" t="inlineStr"/>
      <c r="TWA79" s="278" t="inlineStr"/>
      <c r="TWB79" s="278" t="inlineStr"/>
      <c r="TWC79" s="278" t="inlineStr"/>
      <c r="TWD79" s="278" t="inlineStr"/>
      <c r="TWE79" s="278" t="inlineStr"/>
      <c r="TWF79" s="278" t="inlineStr"/>
      <c r="TWG79" s="278" t="inlineStr"/>
      <c r="TWH79" s="278" t="inlineStr"/>
      <c r="TWI79" s="278" t="inlineStr"/>
      <c r="TWJ79" s="278" t="inlineStr"/>
      <c r="TWK79" s="278" t="inlineStr"/>
      <c r="TWL79" s="278" t="inlineStr"/>
      <c r="TWM79" s="278" t="inlineStr"/>
      <c r="TWN79" s="278" t="inlineStr"/>
      <c r="TWO79" s="278" t="inlineStr"/>
      <c r="TWP79" s="278" t="inlineStr"/>
      <c r="TWQ79" s="278" t="inlineStr"/>
      <c r="TWR79" s="278" t="inlineStr"/>
      <c r="TWS79" s="278" t="inlineStr"/>
      <c r="TWT79" s="278" t="inlineStr"/>
      <c r="TWU79" s="278" t="inlineStr"/>
      <c r="TWV79" s="278" t="inlineStr"/>
      <c r="TWW79" s="278" t="inlineStr"/>
      <c r="TWX79" s="278" t="inlineStr"/>
      <c r="TWY79" s="278" t="inlineStr"/>
      <c r="TWZ79" s="278" t="inlineStr"/>
      <c r="TXA79" s="278" t="inlineStr"/>
      <c r="TXB79" s="278" t="inlineStr"/>
      <c r="TXC79" s="278" t="inlineStr"/>
      <c r="TXD79" s="278" t="inlineStr"/>
      <c r="TXE79" s="278" t="inlineStr"/>
      <c r="TXF79" s="278" t="inlineStr"/>
      <c r="TXG79" s="278" t="inlineStr"/>
      <c r="TXH79" s="278" t="inlineStr"/>
      <c r="TXI79" s="278" t="inlineStr"/>
      <c r="TXJ79" s="278" t="inlineStr"/>
      <c r="TXK79" s="278" t="inlineStr"/>
      <c r="TXL79" s="278" t="inlineStr"/>
      <c r="TXM79" s="278" t="inlineStr"/>
      <c r="TXN79" s="278" t="inlineStr"/>
      <c r="TXO79" s="278" t="inlineStr"/>
      <c r="TXP79" s="278" t="inlineStr"/>
      <c r="TXQ79" s="278" t="inlineStr"/>
      <c r="TXR79" s="278" t="inlineStr"/>
      <c r="TXS79" s="278" t="inlineStr"/>
      <c r="TXT79" s="278" t="inlineStr"/>
      <c r="TXU79" s="278" t="inlineStr"/>
      <c r="TXV79" s="278" t="inlineStr"/>
      <c r="TXW79" s="278" t="inlineStr"/>
      <c r="TXX79" s="278" t="inlineStr"/>
      <c r="TXY79" s="278" t="inlineStr"/>
      <c r="TXZ79" s="278" t="inlineStr"/>
      <c r="TYA79" s="278" t="inlineStr"/>
      <c r="TYB79" s="278" t="inlineStr"/>
      <c r="TYC79" s="278" t="inlineStr"/>
      <c r="TYD79" s="278" t="inlineStr"/>
      <c r="TYE79" s="278" t="inlineStr"/>
      <c r="TYF79" s="278" t="inlineStr"/>
      <c r="TYG79" s="278" t="inlineStr"/>
      <c r="TYH79" s="278" t="inlineStr"/>
      <c r="TYI79" s="278" t="inlineStr"/>
      <c r="TYJ79" s="278" t="inlineStr"/>
      <c r="TYK79" s="278" t="inlineStr"/>
      <c r="TYL79" s="278" t="inlineStr"/>
      <c r="TYM79" s="278" t="inlineStr"/>
      <c r="TYN79" s="278" t="inlineStr"/>
      <c r="TYO79" s="278" t="inlineStr"/>
      <c r="TYP79" s="278" t="inlineStr"/>
      <c r="TYQ79" s="278" t="inlineStr"/>
      <c r="TYR79" s="278" t="inlineStr"/>
      <c r="TYS79" s="278" t="inlineStr"/>
      <c r="TYT79" s="278" t="inlineStr"/>
      <c r="TYU79" s="278" t="inlineStr"/>
      <c r="TYV79" s="278" t="inlineStr"/>
      <c r="TYW79" s="278" t="inlineStr"/>
      <c r="TYX79" s="278" t="inlineStr"/>
      <c r="TYY79" s="278" t="inlineStr"/>
      <c r="TYZ79" s="278" t="inlineStr"/>
      <c r="TZA79" s="278" t="inlineStr"/>
      <c r="TZB79" s="278" t="inlineStr"/>
      <c r="TZC79" s="278" t="inlineStr"/>
      <c r="TZD79" s="278" t="inlineStr"/>
      <c r="TZE79" s="278" t="inlineStr"/>
      <c r="TZF79" s="278" t="inlineStr"/>
      <c r="TZG79" s="278" t="inlineStr"/>
      <c r="TZH79" s="278" t="inlineStr"/>
      <c r="TZI79" s="278" t="inlineStr"/>
      <c r="TZJ79" s="278" t="inlineStr"/>
      <c r="TZK79" s="278" t="inlineStr"/>
      <c r="TZL79" s="278" t="inlineStr"/>
      <c r="TZM79" s="278" t="inlineStr"/>
      <c r="TZN79" s="278" t="inlineStr"/>
      <c r="TZO79" s="278" t="inlineStr"/>
      <c r="TZP79" s="278" t="inlineStr"/>
      <c r="TZQ79" s="278" t="inlineStr"/>
      <c r="TZR79" s="278" t="inlineStr"/>
      <c r="TZS79" s="278" t="inlineStr"/>
      <c r="TZT79" s="278" t="inlineStr"/>
      <c r="TZU79" s="278" t="inlineStr"/>
      <c r="TZV79" s="278" t="inlineStr"/>
      <c r="TZW79" s="278" t="inlineStr"/>
      <c r="TZX79" s="278" t="inlineStr"/>
      <c r="TZY79" s="278" t="inlineStr"/>
      <c r="TZZ79" s="278" t="inlineStr"/>
      <c r="UAA79" s="278" t="inlineStr"/>
      <c r="UAB79" s="278" t="inlineStr"/>
      <c r="UAC79" s="278" t="inlineStr"/>
      <c r="UAD79" s="278" t="inlineStr"/>
      <c r="UAE79" s="278" t="inlineStr"/>
      <c r="UAF79" s="278" t="inlineStr"/>
      <c r="UAG79" s="278" t="inlineStr"/>
      <c r="UAH79" s="278" t="inlineStr"/>
      <c r="UAI79" s="278" t="inlineStr"/>
      <c r="UAJ79" s="278" t="inlineStr"/>
      <c r="UAK79" s="278" t="inlineStr"/>
      <c r="UAL79" s="278" t="inlineStr"/>
      <c r="UAM79" s="278" t="inlineStr"/>
      <c r="UAN79" s="278" t="inlineStr"/>
      <c r="UAO79" s="278" t="inlineStr"/>
      <c r="UAP79" s="278" t="inlineStr"/>
      <c r="UAQ79" s="278" t="inlineStr"/>
      <c r="UAR79" s="278" t="inlineStr"/>
      <c r="UAS79" s="278" t="inlineStr"/>
      <c r="UAT79" s="278" t="inlineStr"/>
      <c r="UAU79" s="278" t="inlineStr"/>
      <c r="UAV79" s="278" t="inlineStr"/>
      <c r="UAW79" s="278" t="inlineStr"/>
      <c r="UAX79" s="278" t="inlineStr"/>
      <c r="UAY79" s="278" t="inlineStr"/>
      <c r="UAZ79" s="278" t="inlineStr"/>
      <c r="UBA79" s="278" t="inlineStr"/>
      <c r="UBB79" s="278" t="inlineStr"/>
      <c r="UBC79" s="278" t="inlineStr"/>
      <c r="UBD79" s="278" t="inlineStr"/>
      <c r="UBE79" s="278" t="inlineStr"/>
      <c r="UBF79" s="278" t="inlineStr"/>
      <c r="UBG79" s="278" t="inlineStr"/>
      <c r="UBH79" s="278" t="inlineStr"/>
      <c r="UBI79" s="278" t="inlineStr"/>
      <c r="UBJ79" s="278" t="inlineStr"/>
      <c r="UBK79" s="278" t="inlineStr"/>
      <c r="UBL79" s="278" t="inlineStr"/>
      <c r="UBM79" s="278" t="inlineStr"/>
      <c r="UBN79" s="278" t="inlineStr"/>
      <c r="UBO79" s="278" t="inlineStr"/>
      <c r="UBP79" s="278" t="inlineStr"/>
      <c r="UBQ79" s="278" t="inlineStr"/>
      <c r="UBR79" s="278" t="inlineStr"/>
      <c r="UBS79" s="278" t="inlineStr"/>
      <c r="UBT79" s="278" t="inlineStr"/>
      <c r="UBU79" s="278" t="inlineStr"/>
      <c r="UBV79" s="278" t="inlineStr"/>
      <c r="UBW79" s="278" t="inlineStr"/>
      <c r="UBX79" s="278" t="inlineStr"/>
      <c r="UBY79" s="278" t="inlineStr"/>
      <c r="UBZ79" s="278" t="inlineStr"/>
      <c r="UCA79" s="278" t="inlineStr"/>
      <c r="UCB79" s="278" t="inlineStr"/>
      <c r="UCC79" s="278" t="inlineStr"/>
      <c r="UCD79" s="278" t="inlineStr"/>
      <c r="UCE79" s="278" t="inlineStr"/>
      <c r="UCF79" s="278" t="inlineStr"/>
      <c r="UCG79" s="278" t="inlineStr"/>
      <c r="UCH79" s="278" t="inlineStr"/>
      <c r="UCI79" s="278" t="inlineStr"/>
      <c r="UCJ79" s="278" t="inlineStr"/>
      <c r="UCK79" s="278" t="inlineStr"/>
      <c r="UCL79" s="278" t="inlineStr"/>
      <c r="UCM79" s="278" t="inlineStr"/>
      <c r="UCN79" s="278" t="inlineStr"/>
      <c r="UCO79" s="278" t="inlineStr"/>
      <c r="UCP79" s="278" t="inlineStr"/>
      <c r="UCQ79" s="278" t="inlineStr"/>
      <c r="UCR79" s="278" t="inlineStr"/>
      <c r="UCS79" s="278" t="inlineStr"/>
      <c r="UCT79" s="278" t="inlineStr"/>
      <c r="UCU79" s="278" t="inlineStr"/>
      <c r="UCV79" s="278" t="inlineStr"/>
      <c r="UCW79" s="278" t="inlineStr"/>
      <c r="UCX79" s="278" t="inlineStr"/>
      <c r="UCY79" s="278" t="inlineStr"/>
      <c r="UCZ79" s="278" t="inlineStr"/>
      <c r="UDA79" s="278" t="inlineStr"/>
      <c r="UDB79" s="278" t="inlineStr"/>
      <c r="UDC79" s="278" t="inlineStr"/>
      <c r="UDD79" s="278" t="inlineStr"/>
      <c r="UDE79" s="278" t="inlineStr"/>
      <c r="UDF79" s="278" t="inlineStr"/>
      <c r="UDG79" s="278" t="inlineStr"/>
      <c r="UDH79" s="278" t="inlineStr"/>
      <c r="UDI79" s="278" t="inlineStr"/>
      <c r="UDJ79" s="278" t="inlineStr"/>
      <c r="UDK79" s="278" t="inlineStr"/>
      <c r="UDL79" s="278" t="inlineStr"/>
      <c r="UDM79" s="278" t="inlineStr"/>
      <c r="UDN79" s="278" t="inlineStr"/>
      <c r="UDO79" s="278" t="inlineStr"/>
      <c r="UDP79" s="278" t="inlineStr"/>
      <c r="UDQ79" s="278" t="inlineStr"/>
      <c r="UDR79" s="278" t="inlineStr"/>
      <c r="UDS79" s="278" t="inlineStr"/>
      <c r="UDT79" s="278" t="inlineStr"/>
      <c r="UDU79" s="278" t="inlineStr"/>
      <c r="UDV79" s="278" t="inlineStr"/>
      <c r="UDW79" s="278" t="inlineStr"/>
      <c r="UDX79" s="278" t="inlineStr"/>
      <c r="UDY79" s="278" t="inlineStr"/>
      <c r="UDZ79" s="278" t="inlineStr"/>
      <c r="UEA79" s="278" t="inlineStr"/>
      <c r="UEB79" s="278" t="inlineStr"/>
      <c r="UEC79" s="278" t="inlineStr"/>
      <c r="UED79" s="278" t="inlineStr"/>
      <c r="UEE79" s="278" t="inlineStr"/>
      <c r="UEF79" s="278" t="inlineStr"/>
      <c r="UEG79" s="278" t="inlineStr"/>
      <c r="UEH79" s="278" t="inlineStr"/>
      <c r="UEI79" s="278" t="inlineStr"/>
      <c r="UEJ79" s="278" t="inlineStr"/>
      <c r="UEK79" s="278" t="inlineStr"/>
      <c r="UEL79" s="278" t="inlineStr"/>
      <c r="UEM79" s="278" t="inlineStr"/>
      <c r="UEN79" s="278" t="inlineStr"/>
      <c r="UEO79" s="278" t="inlineStr"/>
      <c r="UEP79" s="278" t="inlineStr"/>
      <c r="UEQ79" s="278" t="inlineStr"/>
      <c r="UER79" s="278" t="inlineStr"/>
      <c r="UES79" s="278" t="inlineStr"/>
      <c r="UET79" s="278" t="inlineStr"/>
      <c r="UEU79" s="278" t="inlineStr"/>
      <c r="UEV79" s="278" t="inlineStr"/>
      <c r="UEW79" s="278" t="inlineStr"/>
      <c r="UEX79" s="278" t="inlineStr"/>
      <c r="UEY79" s="278" t="inlineStr"/>
      <c r="UEZ79" s="278" t="inlineStr"/>
      <c r="UFA79" s="278" t="inlineStr"/>
      <c r="UFB79" s="278" t="inlineStr"/>
      <c r="UFC79" s="278" t="inlineStr"/>
      <c r="UFD79" s="278" t="inlineStr"/>
      <c r="UFE79" s="278" t="inlineStr"/>
      <c r="UFF79" s="278" t="inlineStr"/>
      <c r="UFG79" s="278" t="inlineStr"/>
      <c r="UFH79" s="278" t="inlineStr"/>
      <c r="UFI79" s="278" t="inlineStr"/>
      <c r="UFJ79" s="278" t="inlineStr"/>
      <c r="UFK79" s="278" t="inlineStr"/>
      <c r="UFL79" s="278" t="inlineStr"/>
      <c r="UFM79" s="278" t="inlineStr"/>
      <c r="UFN79" s="278" t="inlineStr"/>
      <c r="UFO79" s="278" t="inlineStr"/>
      <c r="UFP79" s="278" t="inlineStr"/>
      <c r="UFQ79" s="278" t="inlineStr"/>
      <c r="UFR79" s="278" t="inlineStr"/>
      <c r="UFS79" s="278" t="inlineStr"/>
      <c r="UFT79" s="278" t="inlineStr"/>
      <c r="UFU79" s="278" t="inlineStr"/>
      <c r="UFV79" s="278" t="inlineStr"/>
      <c r="UFW79" s="278" t="inlineStr"/>
      <c r="UFX79" s="278" t="inlineStr"/>
      <c r="UFY79" s="278" t="inlineStr"/>
      <c r="UFZ79" s="278" t="inlineStr"/>
      <c r="UGA79" s="278" t="inlineStr"/>
      <c r="UGB79" s="278" t="inlineStr"/>
      <c r="UGC79" s="278" t="inlineStr"/>
      <c r="UGD79" s="278" t="inlineStr"/>
      <c r="UGE79" s="278" t="inlineStr"/>
      <c r="UGF79" s="278" t="inlineStr"/>
      <c r="UGG79" s="278" t="inlineStr"/>
      <c r="UGH79" s="278" t="inlineStr"/>
      <c r="UGI79" s="278" t="inlineStr"/>
      <c r="UGJ79" s="278" t="inlineStr"/>
      <c r="UGK79" s="278" t="inlineStr"/>
      <c r="UGL79" s="278" t="inlineStr"/>
      <c r="UGM79" s="278" t="inlineStr"/>
      <c r="UGN79" s="278" t="inlineStr"/>
      <c r="UGO79" s="278" t="inlineStr"/>
      <c r="UGP79" s="278" t="inlineStr"/>
      <c r="UGQ79" s="278" t="inlineStr"/>
      <c r="UGR79" s="278" t="inlineStr"/>
      <c r="UGS79" s="278" t="inlineStr"/>
      <c r="UGT79" s="278" t="inlineStr"/>
      <c r="UGU79" s="278" t="inlineStr"/>
      <c r="UGV79" s="278" t="inlineStr"/>
      <c r="UGW79" s="278" t="inlineStr"/>
      <c r="UGX79" s="278" t="inlineStr"/>
      <c r="UGY79" s="278" t="inlineStr"/>
      <c r="UGZ79" s="278" t="inlineStr"/>
      <c r="UHA79" s="278" t="inlineStr"/>
      <c r="UHB79" s="278" t="inlineStr"/>
      <c r="UHC79" s="278" t="inlineStr"/>
      <c r="UHD79" s="278" t="inlineStr"/>
      <c r="UHE79" s="278" t="inlineStr"/>
      <c r="UHF79" s="278" t="inlineStr"/>
      <c r="UHG79" s="278" t="inlineStr"/>
      <c r="UHH79" s="278" t="inlineStr"/>
      <c r="UHI79" s="278" t="inlineStr"/>
      <c r="UHJ79" s="278" t="inlineStr"/>
      <c r="UHK79" s="278" t="inlineStr"/>
      <c r="UHL79" s="278" t="inlineStr"/>
      <c r="UHM79" s="278" t="inlineStr"/>
      <c r="UHN79" s="278" t="inlineStr"/>
      <c r="UHO79" s="278" t="inlineStr"/>
      <c r="UHP79" s="278" t="inlineStr"/>
      <c r="UHQ79" s="278" t="inlineStr"/>
      <c r="UHR79" s="278" t="inlineStr"/>
      <c r="UHS79" s="278" t="inlineStr"/>
      <c r="UHT79" s="278" t="inlineStr"/>
      <c r="UHU79" s="278" t="inlineStr"/>
      <c r="UHV79" s="278" t="inlineStr"/>
      <c r="UHW79" s="278" t="inlineStr"/>
      <c r="UHX79" s="278" t="inlineStr"/>
      <c r="UHY79" s="278" t="inlineStr"/>
      <c r="UHZ79" s="278" t="inlineStr"/>
      <c r="UIA79" s="278" t="inlineStr"/>
      <c r="UIB79" s="278" t="inlineStr"/>
      <c r="UIC79" s="278" t="inlineStr"/>
      <c r="UID79" s="278" t="inlineStr"/>
      <c r="UIE79" s="278" t="inlineStr"/>
      <c r="UIF79" s="278" t="inlineStr"/>
      <c r="UIG79" s="278" t="inlineStr"/>
      <c r="UIH79" s="278" t="inlineStr"/>
      <c r="UII79" s="278" t="inlineStr"/>
      <c r="UIJ79" s="278" t="inlineStr"/>
      <c r="UIK79" s="278" t="inlineStr"/>
      <c r="UIL79" s="278" t="inlineStr"/>
      <c r="UIM79" s="278" t="inlineStr"/>
      <c r="UIN79" s="278" t="inlineStr"/>
      <c r="UIO79" s="278" t="inlineStr"/>
      <c r="UIP79" s="278" t="inlineStr"/>
      <c r="UIQ79" s="278" t="inlineStr"/>
      <c r="UIR79" s="278" t="inlineStr"/>
      <c r="UIS79" s="278" t="inlineStr"/>
      <c r="UIT79" s="278" t="inlineStr"/>
      <c r="UIU79" s="278" t="inlineStr"/>
      <c r="UIV79" s="278" t="inlineStr"/>
      <c r="UIW79" s="278" t="inlineStr"/>
      <c r="UIX79" s="278" t="inlineStr"/>
      <c r="UIY79" s="278" t="inlineStr"/>
      <c r="UIZ79" s="278" t="inlineStr"/>
      <c r="UJA79" s="278" t="inlineStr"/>
      <c r="UJB79" s="278" t="inlineStr"/>
      <c r="UJC79" s="278" t="inlineStr"/>
      <c r="UJD79" s="278" t="inlineStr"/>
      <c r="UJE79" s="278" t="inlineStr"/>
      <c r="UJF79" s="278" t="inlineStr"/>
      <c r="UJG79" s="278" t="inlineStr"/>
      <c r="UJH79" s="278" t="inlineStr"/>
      <c r="UJI79" s="278" t="inlineStr"/>
      <c r="UJJ79" s="278" t="inlineStr"/>
      <c r="UJK79" s="278" t="inlineStr"/>
      <c r="UJL79" s="278" t="inlineStr"/>
      <c r="UJM79" s="278" t="inlineStr"/>
      <c r="UJN79" s="278" t="inlineStr"/>
      <c r="UJO79" s="278" t="inlineStr"/>
      <c r="UJP79" s="278" t="inlineStr"/>
      <c r="UJQ79" s="278" t="inlineStr"/>
      <c r="UJR79" s="278" t="inlineStr"/>
      <c r="UJS79" s="278" t="inlineStr"/>
      <c r="UJT79" s="278" t="inlineStr"/>
      <c r="UJU79" s="278" t="inlineStr"/>
      <c r="UJV79" s="278" t="inlineStr"/>
      <c r="UJW79" s="278" t="inlineStr"/>
      <c r="UJX79" s="278" t="inlineStr"/>
      <c r="UJY79" s="278" t="inlineStr"/>
      <c r="UJZ79" s="278" t="inlineStr"/>
      <c r="UKA79" s="278" t="inlineStr"/>
      <c r="UKB79" s="278" t="inlineStr"/>
      <c r="UKC79" s="278" t="inlineStr"/>
      <c r="UKD79" s="278" t="inlineStr"/>
      <c r="UKE79" s="278" t="inlineStr"/>
      <c r="UKF79" s="278" t="inlineStr"/>
      <c r="UKG79" s="278" t="inlineStr"/>
      <c r="UKH79" s="278" t="inlineStr"/>
      <c r="UKI79" s="278" t="inlineStr"/>
      <c r="UKJ79" s="278" t="inlineStr"/>
      <c r="UKK79" s="278" t="inlineStr"/>
      <c r="UKL79" s="278" t="inlineStr"/>
      <c r="UKM79" s="278" t="inlineStr"/>
      <c r="UKN79" s="278" t="inlineStr"/>
      <c r="UKO79" s="278" t="inlineStr"/>
      <c r="UKP79" s="278" t="inlineStr"/>
      <c r="UKQ79" s="278" t="inlineStr"/>
      <c r="UKR79" s="278" t="inlineStr"/>
      <c r="UKS79" s="278" t="inlineStr"/>
      <c r="UKT79" s="278" t="inlineStr"/>
      <c r="UKU79" s="278" t="inlineStr"/>
      <c r="UKV79" s="278" t="inlineStr"/>
      <c r="UKW79" s="278" t="inlineStr"/>
      <c r="UKX79" s="278" t="inlineStr"/>
      <c r="UKY79" s="278" t="inlineStr"/>
      <c r="UKZ79" s="278" t="inlineStr"/>
      <c r="ULA79" s="278" t="inlineStr"/>
      <c r="ULB79" s="278" t="inlineStr"/>
      <c r="ULC79" s="278" t="inlineStr"/>
      <c r="ULD79" s="278" t="inlineStr"/>
      <c r="ULE79" s="278" t="inlineStr"/>
      <c r="ULF79" s="278" t="inlineStr"/>
      <c r="ULG79" s="278" t="inlineStr"/>
      <c r="ULH79" s="278" t="inlineStr"/>
      <c r="ULI79" s="278" t="inlineStr"/>
      <c r="ULJ79" s="278" t="inlineStr"/>
      <c r="ULK79" s="278" t="inlineStr"/>
      <c r="ULL79" s="278" t="inlineStr"/>
      <c r="ULM79" s="278" t="inlineStr"/>
      <c r="ULN79" s="278" t="inlineStr"/>
      <c r="ULO79" s="278" t="inlineStr"/>
      <c r="ULP79" s="278" t="inlineStr"/>
      <c r="ULQ79" s="278" t="inlineStr"/>
      <c r="ULR79" s="278" t="inlineStr"/>
      <c r="ULS79" s="278" t="inlineStr"/>
      <c r="ULT79" s="278" t="inlineStr"/>
      <c r="ULU79" s="278" t="inlineStr"/>
      <c r="ULV79" s="278" t="inlineStr"/>
      <c r="ULW79" s="278" t="inlineStr"/>
      <c r="ULX79" s="278" t="inlineStr"/>
      <c r="ULY79" s="278" t="inlineStr"/>
      <c r="ULZ79" s="278" t="inlineStr"/>
      <c r="UMA79" s="278" t="inlineStr"/>
      <c r="UMB79" s="278" t="inlineStr"/>
      <c r="UMC79" s="278" t="inlineStr"/>
      <c r="UMD79" s="278" t="inlineStr"/>
      <c r="UME79" s="278" t="inlineStr"/>
      <c r="UMF79" s="278" t="inlineStr"/>
      <c r="UMG79" s="278" t="inlineStr"/>
      <c r="UMH79" s="278" t="inlineStr"/>
      <c r="UMI79" s="278" t="inlineStr"/>
      <c r="UMJ79" s="278" t="inlineStr"/>
      <c r="UMK79" s="278" t="inlineStr"/>
      <c r="UML79" s="278" t="inlineStr"/>
      <c r="UMM79" s="278" t="inlineStr"/>
      <c r="UMN79" s="278" t="inlineStr"/>
      <c r="UMO79" s="278" t="inlineStr"/>
      <c r="UMP79" s="278" t="inlineStr"/>
      <c r="UMQ79" s="278" t="inlineStr"/>
      <c r="UMR79" s="278" t="inlineStr"/>
      <c r="UMS79" s="278" t="inlineStr"/>
      <c r="UMT79" s="278" t="inlineStr"/>
      <c r="UMU79" s="278" t="inlineStr"/>
      <c r="UMV79" s="278" t="inlineStr"/>
      <c r="UMW79" s="278" t="inlineStr"/>
      <c r="UMX79" s="278" t="inlineStr"/>
      <c r="UMY79" s="278" t="inlineStr"/>
      <c r="UMZ79" s="278" t="inlineStr"/>
      <c r="UNA79" s="278" t="inlineStr"/>
      <c r="UNB79" s="278" t="inlineStr"/>
      <c r="UNC79" s="278" t="inlineStr"/>
      <c r="UND79" s="278" t="inlineStr"/>
      <c r="UNE79" s="278" t="inlineStr"/>
      <c r="UNF79" s="278" t="inlineStr"/>
      <c r="UNG79" s="278" t="inlineStr"/>
      <c r="UNH79" s="278" t="inlineStr"/>
      <c r="UNI79" s="278" t="inlineStr"/>
      <c r="UNJ79" s="278" t="inlineStr"/>
      <c r="UNK79" s="278" t="inlineStr"/>
      <c r="UNL79" s="278" t="inlineStr"/>
      <c r="UNM79" s="278" t="inlineStr"/>
      <c r="UNN79" s="278" t="inlineStr"/>
      <c r="UNO79" s="278" t="inlineStr"/>
      <c r="UNP79" s="278" t="inlineStr"/>
      <c r="UNQ79" s="278" t="inlineStr"/>
      <c r="UNR79" s="278" t="inlineStr"/>
      <c r="UNS79" s="278" t="inlineStr"/>
      <c r="UNT79" s="278" t="inlineStr"/>
      <c r="UNU79" s="278" t="inlineStr"/>
      <c r="UNV79" s="278" t="inlineStr"/>
      <c r="UNW79" s="278" t="inlineStr"/>
      <c r="UNX79" s="278" t="inlineStr"/>
      <c r="UNY79" s="278" t="inlineStr"/>
      <c r="UNZ79" s="278" t="inlineStr"/>
      <c r="UOA79" s="278" t="inlineStr"/>
      <c r="UOB79" s="278" t="inlineStr"/>
      <c r="UOC79" s="278" t="inlineStr"/>
      <c r="UOD79" s="278" t="inlineStr"/>
      <c r="UOE79" s="278" t="inlineStr"/>
      <c r="UOF79" s="278" t="inlineStr"/>
      <c r="UOG79" s="278" t="inlineStr"/>
      <c r="UOH79" s="278" t="inlineStr"/>
      <c r="UOI79" s="278" t="inlineStr"/>
      <c r="UOJ79" s="278" t="inlineStr"/>
      <c r="UOK79" s="278" t="inlineStr"/>
      <c r="UOL79" s="278" t="inlineStr"/>
      <c r="UOM79" s="278" t="inlineStr"/>
      <c r="UON79" s="278" t="inlineStr"/>
      <c r="UOO79" s="278" t="inlineStr"/>
      <c r="UOP79" s="278" t="inlineStr"/>
      <c r="UOQ79" s="278" t="inlineStr"/>
      <c r="UOR79" s="278" t="inlineStr"/>
      <c r="UOS79" s="278" t="inlineStr"/>
      <c r="UOT79" s="278" t="inlineStr"/>
      <c r="UOU79" s="278" t="inlineStr"/>
      <c r="UOV79" s="278" t="inlineStr"/>
      <c r="UOW79" s="278" t="inlineStr"/>
      <c r="UOX79" s="278" t="inlineStr"/>
      <c r="UOY79" s="278" t="inlineStr"/>
      <c r="UOZ79" s="278" t="inlineStr"/>
      <c r="UPA79" s="278" t="inlineStr"/>
      <c r="UPB79" s="278" t="inlineStr"/>
      <c r="UPC79" s="278" t="inlineStr"/>
      <c r="UPD79" s="278" t="inlineStr"/>
      <c r="UPE79" s="278" t="inlineStr"/>
      <c r="UPF79" s="278" t="inlineStr"/>
      <c r="UPG79" s="278" t="inlineStr"/>
      <c r="UPH79" s="278" t="inlineStr"/>
      <c r="UPI79" s="278" t="inlineStr"/>
      <c r="UPJ79" s="278" t="inlineStr"/>
      <c r="UPK79" s="278" t="inlineStr"/>
      <c r="UPL79" s="278" t="inlineStr"/>
      <c r="UPM79" s="278" t="inlineStr"/>
      <c r="UPN79" s="278" t="inlineStr"/>
      <c r="UPO79" s="278" t="inlineStr"/>
      <c r="UPP79" s="278" t="inlineStr"/>
      <c r="UPQ79" s="278" t="inlineStr"/>
      <c r="UPR79" s="278" t="inlineStr"/>
      <c r="UPS79" s="278" t="inlineStr"/>
      <c r="UPT79" s="278" t="inlineStr"/>
      <c r="UPU79" s="278" t="inlineStr"/>
      <c r="UPV79" s="278" t="inlineStr"/>
      <c r="UPW79" s="278" t="inlineStr"/>
      <c r="UPX79" s="278" t="inlineStr"/>
      <c r="UPY79" s="278" t="inlineStr"/>
      <c r="UPZ79" s="278" t="inlineStr"/>
      <c r="UQA79" s="278" t="inlineStr"/>
      <c r="UQB79" s="278" t="inlineStr"/>
      <c r="UQC79" s="278" t="inlineStr"/>
      <c r="UQD79" s="278" t="inlineStr"/>
      <c r="UQE79" s="278" t="inlineStr"/>
      <c r="UQF79" s="278" t="inlineStr"/>
      <c r="UQG79" s="278" t="inlineStr"/>
      <c r="UQH79" s="278" t="inlineStr"/>
      <c r="UQI79" s="278" t="inlineStr"/>
      <c r="UQJ79" s="278" t="inlineStr"/>
      <c r="UQK79" s="278" t="inlineStr"/>
      <c r="UQL79" s="278" t="inlineStr"/>
      <c r="UQM79" s="278" t="inlineStr"/>
      <c r="UQN79" s="278" t="inlineStr"/>
      <c r="UQO79" s="278" t="inlineStr"/>
      <c r="UQP79" s="278" t="inlineStr"/>
      <c r="UQQ79" s="278" t="inlineStr"/>
      <c r="UQR79" s="278" t="inlineStr"/>
      <c r="UQS79" s="278" t="inlineStr"/>
      <c r="UQT79" s="278" t="inlineStr"/>
      <c r="UQU79" s="278" t="inlineStr"/>
      <c r="UQV79" s="278" t="inlineStr"/>
      <c r="UQW79" s="278" t="inlineStr"/>
      <c r="UQX79" s="278" t="inlineStr"/>
      <c r="UQY79" s="278" t="inlineStr"/>
      <c r="UQZ79" s="278" t="inlineStr"/>
      <c r="URA79" s="278" t="inlineStr"/>
      <c r="URB79" s="278" t="inlineStr"/>
      <c r="URC79" s="278" t="inlineStr"/>
      <c r="URD79" s="278" t="inlineStr"/>
      <c r="URE79" s="278" t="inlineStr"/>
      <c r="URF79" s="278" t="inlineStr"/>
      <c r="URG79" s="278" t="inlineStr"/>
      <c r="URH79" s="278" t="inlineStr"/>
      <c r="URI79" s="278" t="inlineStr"/>
      <c r="URJ79" s="278" t="inlineStr"/>
      <c r="URK79" s="278" t="inlineStr"/>
      <c r="URL79" s="278" t="inlineStr"/>
      <c r="URM79" s="278" t="inlineStr"/>
      <c r="URN79" s="278" t="inlineStr"/>
      <c r="URO79" s="278" t="inlineStr"/>
      <c r="URP79" s="278" t="inlineStr"/>
      <c r="URQ79" s="278" t="inlineStr"/>
      <c r="URR79" s="278" t="inlineStr"/>
      <c r="URS79" s="278" t="inlineStr"/>
      <c r="URT79" s="278" t="inlineStr"/>
      <c r="URU79" s="278" t="inlineStr"/>
      <c r="URV79" s="278" t="inlineStr"/>
      <c r="URW79" s="278" t="inlineStr"/>
      <c r="URX79" s="278" t="inlineStr"/>
      <c r="URY79" s="278" t="inlineStr"/>
      <c r="URZ79" s="278" t="inlineStr"/>
      <c r="USA79" s="278" t="inlineStr"/>
      <c r="USB79" s="278" t="inlineStr"/>
      <c r="USC79" s="278" t="inlineStr"/>
      <c r="USD79" s="278" t="inlineStr"/>
      <c r="USE79" s="278" t="inlineStr"/>
      <c r="USF79" s="278" t="inlineStr"/>
      <c r="USG79" s="278" t="inlineStr"/>
      <c r="USH79" s="278" t="inlineStr"/>
      <c r="USI79" s="278" t="inlineStr"/>
      <c r="USJ79" s="278" t="inlineStr"/>
      <c r="USK79" s="278" t="inlineStr"/>
      <c r="USL79" s="278" t="inlineStr"/>
      <c r="USM79" s="278" t="inlineStr"/>
      <c r="USN79" s="278" t="inlineStr"/>
      <c r="USO79" s="278" t="inlineStr"/>
      <c r="USP79" s="278" t="inlineStr"/>
      <c r="USQ79" s="278" t="inlineStr"/>
      <c r="USR79" s="278" t="inlineStr"/>
      <c r="USS79" s="278" t="inlineStr"/>
      <c r="UST79" s="278" t="inlineStr"/>
      <c r="USU79" s="278" t="inlineStr"/>
      <c r="USV79" s="278" t="inlineStr"/>
      <c r="USW79" s="278" t="inlineStr"/>
      <c r="USX79" s="278" t="inlineStr"/>
      <c r="USY79" s="278" t="inlineStr"/>
      <c r="USZ79" s="278" t="inlineStr"/>
      <c r="UTA79" s="278" t="inlineStr"/>
      <c r="UTB79" s="278" t="inlineStr"/>
      <c r="UTC79" s="278" t="inlineStr"/>
      <c r="UTD79" s="278" t="inlineStr"/>
      <c r="UTE79" s="278" t="inlineStr"/>
      <c r="UTF79" s="278" t="inlineStr"/>
      <c r="UTG79" s="278" t="inlineStr"/>
      <c r="UTH79" s="278" t="inlineStr"/>
      <c r="UTI79" s="278" t="inlineStr"/>
      <c r="UTJ79" s="278" t="inlineStr"/>
      <c r="UTK79" s="278" t="inlineStr"/>
      <c r="UTL79" s="278" t="inlineStr"/>
      <c r="UTM79" s="278" t="inlineStr"/>
      <c r="UTN79" s="278" t="inlineStr"/>
      <c r="UTO79" s="278" t="inlineStr"/>
      <c r="UTP79" s="278" t="inlineStr"/>
      <c r="UTQ79" s="278" t="inlineStr"/>
      <c r="UTR79" s="278" t="inlineStr"/>
      <c r="UTS79" s="278" t="inlineStr"/>
      <c r="UTT79" s="278" t="inlineStr"/>
      <c r="UTU79" s="278" t="inlineStr"/>
      <c r="UTV79" s="278" t="inlineStr"/>
      <c r="UTW79" s="278" t="inlineStr"/>
      <c r="UTX79" s="278" t="inlineStr"/>
      <c r="UTY79" s="278" t="inlineStr"/>
      <c r="UTZ79" s="278" t="inlineStr"/>
      <c r="UUA79" s="278" t="inlineStr"/>
      <c r="UUB79" s="278" t="inlineStr"/>
      <c r="UUC79" s="278" t="inlineStr"/>
      <c r="UUD79" s="278" t="inlineStr"/>
      <c r="UUE79" s="278" t="inlineStr"/>
      <c r="UUF79" s="278" t="inlineStr"/>
      <c r="UUG79" s="278" t="inlineStr"/>
      <c r="UUH79" s="278" t="inlineStr"/>
      <c r="UUI79" s="278" t="inlineStr"/>
      <c r="UUJ79" s="278" t="inlineStr"/>
      <c r="UUK79" s="278" t="inlineStr"/>
      <c r="UUL79" s="278" t="inlineStr"/>
      <c r="UUM79" s="278" t="inlineStr"/>
      <c r="UUN79" s="278" t="inlineStr"/>
      <c r="UUO79" s="278" t="inlineStr"/>
      <c r="UUP79" s="278" t="inlineStr"/>
      <c r="UUQ79" s="278" t="inlineStr"/>
      <c r="UUR79" s="278" t="inlineStr"/>
      <c r="UUS79" s="278" t="inlineStr"/>
      <c r="UUT79" s="278" t="inlineStr"/>
      <c r="UUU79" s="278" t="inlineStr"/>
      <c r="UUV79" s="278" t="inlineStr"/>
      <c r="UUW79" s="278" t="inlineStr"/>
      <c r="UUX79" s="278" t="inlineStr"/>
      <c r="UUY79" s="278" t="inlineStr"/>
      <c r="UUZ79" s="278" t="inlineStr"/>
      <c r="UVA79" s="278" t="inlineStr"/>
      <c r="UVB79" s="278" t="inlineStr"/>
      <c r="UVC79" s="278" t="inlineStr"/>
      <c r="UVD79" s="278" t="inlineStr"/>
      <c r="UVE79" s="278" t="inlineStr"/>
      <c r="UVF79" s="278" t="inlineStr"/>
      <c r="UVG79" s="278" t="inlineStr"/>
      <c r="UVH79" s="278" t="inlineStr"/>
      <c r="UVI79" s="278" t="inlineStr"/>
      <c r="UVJ79" s="278" t="inlineStr"/>
      <c r="UVK79" s="278" t="inlineStr"/>
      <c r="UVL79" s="278" t="inlineStr"/>
      <c r="UVM79" s="278" t="inlineStr"/>
      <c r="UVN79" s="278" t="inlineStr"/>
      <c r="UVO79" s="278" t="inlineStr"/>
      <c r="UVP79" s="278" t="inlineStr"/>
      <c r="UVQ79" s="278" t="inlineStr"/>
      <c r="UVR79" s="278" t="inlineStr"/>
      <c r="UVS79" s="278" t="inlineStr"/>
      <c r="UVT79" s="278" t="inlineStr"/>
      <c r="UVU79" s="278" t="inlineStr"/>
      <c r="UVV79" s="278" t="inlineStr"/>
      <c r="UVW79" s="278" t="inlineStr"/>
      <c r="UVX79" s="278" t="inlineStr"/>
      <c r="UVY79" s="278" t="inlineStr"/>
      <c r="UVZ79" s="278" t="inlineStr"/>
      <c r="UWA79" s="278" t="inlineStr"/>
      <c r="UWB79" s="278" t="inlineStr"/>
      <c r="UWC79" s="278" t="inlineStr"/>
      <c r="UWD79" s="278" t="inlineStr"/>
      <c r="UWE79" s="278" t="inlineStr"/>
      <c r="UWF79" s="278" t="inlineStr"/>
      <c r="UWG79" s="278" t="inlineStr"/>
      <c r="UWH79" s="278" t="inlineStr"/>
      <c r="UWI79" s="278" t="inlineStr"/>
      <c r="UWJ79" s="278" t="inlineStr"/>
      <c r="UWK79" s="278" t="inlineStr"/>
      <c r="UWL79" s="278" t="inlineStr"/>
      <c r="UWM79" s="278" t="inlineStr"/>
      <c r="UWN79" s="278" t="inlineStr"/>
      <c r="UWO79" s="278" t="inlineStr"/>
      <c r="UWP79" s="278" t="inlineStr"/>
      <c r="UWQ79" s="278" t="inlineStr"/>
      <c r="UWR79" s="278" t="inlineStr"/>
      <c r="UWS79" s="278" t="inlineStr"/>
      <c r="UWT79" s="278" t="inlineStr"/>
      <c r="UWU79" s="278" t="inlineStr"/>
      <c r="UWV79" s="278" t="inlineStr"/>
      <c r="UWW79" s="278" t="inlineStr"/>
      <c r="UWX79" s="278" t="inlineStr"/>
      <c r="UWY79" s="278" t="inlineStr"/>
      <c r="UWZ79" s="278" t="inlineStr"/>
      <c r="UXA79" s="278" t="inlineStr"/>
      <c r="UXB79" s="278" t="inlineStr"/>
      <c r="UXC79" s="278" t="inlineStr"/>
      <c r="UXD79" s="278" t="inlineStr"/>
      <c r="UXE79" s="278" t="inlineStr"/>
      <c r="UXF79" s="278" t="inlineStr"/>
      <c r="UXG79" s="278" t="inlineStr"/>
      <c r="UXH79" s="278" t="inlineStr"/>
      <c r="UXI79" s="278" t="inlineStr"/>
      <c r="UXJ79" s="278" t="inlineStr"/>
      <c r="UXK79" s="278" t="inlineStr"/>
      <c r="UXL79" s="278" t="inlineStr"/>
      <c r="UXM79" s="278" t="inlineStr"/>
      <c r="UXN79" s="278" t="inlineStr"/>
      <c r="UXO79" s="278" t="inlineStr"/>
      <c r="UXP79" s="278" t="inlineStr"/>
      <c r="UXQ79" s="278" t="inlineStr"/>
      <c r="UXR79" s="278" t="inlineStr"/>
      <c r="UXS79" s="278" t="inlineStr"/>
      <c r="UXT79" s="278" t="inlineStr"/>
      <c r="UXU79" s="278" t="inlineStr"/>
      <c r="UXV79" s="278" t="inlineStr"/>
      <c r="UXW79" s="278" t="inlineStr"/>
      <c r="UXX79" s="278" t="inlineStr"/>
      <c r="UXY79" s="278" t="inlineStr"/>
      <c r="UXZ79" s="278" t="inlineStr"/>
      <c r="UYA79" s="278" t="inlineStr"/>
      <c r="UYB79" s="278" t="inlineStr"/>
      <c r="UYC79" s="278" t="inlineStr"/>
      <c r="UYD79" s="278" t="inlineStr"/>
      <c r="UYE79" s="278" t="inlineStr"/>
      <c r="UYF79" s="278" t="inlineStr"/>
      <c r="UYG79" s="278" t="inlineStr"/>
      <c r="UYH79" s="278" t="inlineStr"/>
      <c r="UYI79" s="278" t="inlineStr"/>
      <c r="UYJ79" s="278" t="inlineStr"/>
      <c r="UYK79" s="278" t="inlineStr"/>
      <c r="UYL79" s="278" t="inlineStr"/>
      <c r="UYM79" s="278" t="inlineStr"/>
      <c r="UYN79" s="278" t="inlineStr"/>
      <c r="UYO79" s="278" t="inlineStr"/>
      <c r="UYP79" s="278" t="inlineStr"/>
      <c r="UYQ79" s="278" t="inlineStr"/>
      <c r="UYR79" s="278" t="inlineStr"/>
      <c r="UYS79" s="278" t="inlineStr"/>
      <c r="UYT79" s="278" t="inlineStr"/>
      <c r="UYU79" s="278" t="inlineStr"/>
      <c r="UYV79" s="278" t="inlineStr"/>
      <c r="UYW79" s="278" t="inlineStr"/>
      <c r="UYX79" s="278" t="inlineStr"/>
      <c r="UYY79" s="278" t="inlineStr"/>
      <c r="UYZ79" s="278" t="inlineStr"/>
      <c r="UZA79" s="278" t="inlineStr"/>
      <c r="UZB79" s="278" t="inlineStr"/>
      <c r="UZC79" s="278" t="inlineStr"/>
      <c r="UZD79" s="278" t="inlineStr"/>
      <c r="UZE79" s="278" t="inlineStr"/>
      <c r="UZF79" s="278" t="inlineStr"/>
      <c r="UZG79" s="278" t="inlineStr"/>
      <c r="UZH79" s="278" t="inlineStr"/>
      <c r="UZI79" s="278" t="inlineStr"/>
      <c r="UZJ79" s="278" t="inlineStr"/>
      <c r="UZK79" s="278" t="inlineStr"/>
      <c r="UZL79" s="278" t="inlineStr"/>
      <c r="UZM79" s="278" t="inlineStr"/>
      <c r="UZN79" s="278" t="inlineStr"/>
      <c r="UZO79" s="278" t="inlineStr"/>
      <c r="UZP79" s="278" t="inlineStr"/>
      <c r="UZQ79" s="278" t="inlineStr"/>
      <c r="UZR79" s="278" t="inlineStr"/>
      <c r="UZS79" s="278" t="inlineStr"/>
      <c r="UZT79" s="278" t="inlineStr"/>
      <c r="UZU79" s="278" t="inlineStr"/>
      <c r="UZV79" s="278" t="inlineStr"/>
      <c r="UZW79" s="278" t="inlineStr"/>
      <c r="UZX79" s="278" t="inlineStr"/>
      <c r="UZY79" s="278" t="inlineStr"/>
      <c r="UZZ79" s="278" t="inlineStr"/>
      <c r="VAA79" s="278" t="inlineStr"/>
      <c r="VAB79" s="278" t="inlineStr"/>
      <c r="VAC79" s="278" t="inlineStr"/>
      <c r="VAD79" s="278" t="inlineStr"/>
      <c r="VAE79" s="278" t="inlineStr"/>
      <c r="VAF79" s="278" t="inlineStr"/>
      <c r="VAG79" s="278" t="inlineStr"/>
      <c r="VAH79" s="278" t="inlineStr"/>
      <c r="VAI79" s="278" t="inlineStr"/>
      <c r="VAJ79" s="278" t="inlineStr"/>
      <c r="VAK79" s="278" t="inlineStr"/>
      <c r="VAL79" s="278" t="inlineStr"/>
      <c r="VAM79" s="278" t="inlineStr"/>
      <c r="VAN79" s="278" t="inlineStr"/>
      <c r="VAO79" s="278" t="inlineStr"/>
      <c r="VAP79" s="278" t="inlineStr"/>
      <c r="VAQ79" s="278" t="inlineStr"/>
      <c r="VAR79" s="278" t="inlineStr"/>
      <c r="VAS79" s="278" t="inlineStr"/>
      <c r="VAT79" s="278" t="inlineStr"/>
      <c r="VAU79" s="278" t="inlineStr"/>
      <c r="VAV79" s="278" t="inlineStr"/>
      <c r="VAW79" s="278" t="inlineStr"/>
      <c r="VAX79" s="278" t="inlineStr"/>
      <c r="VAY79" s="278" t="inlineStr"/>
      <c r="VAZ79" s="278" t="inlineStr"/>
      <c r="VBA79" s="278" t="inlineStr"/>
      <c r="VBB79" s="278" t="inlineStr"/>
      <c r="VBC79" s="278" t="inlineStr"/>
      <c r="VBD79" s="278" t="inlineStr"/>
      <c r="VBE79" s="278" t="inlineStr"/>
      <c r="VBF79" s="278" t="inlineStr"/>
      <c r="VBG79" s="278" t="inlineStr"/>
      <c r="VBH79" s="278" t="inlineStr"/>
      <c r="VBI79" s="278" t="inlineStr"/>
      <c r="VBJ79" s="278" t="inlineStr"/>
      <c r="VBK79" s="278" t="inlineStr"/>
      <c r="VBL79" s="278" t="inlineStr"/>
      <c r="VBM79" s="278" t="inlineStr"/>
      <c r="VBN79" s="278" t="inlineStr"/>
      <c r="VBO79" s="278" t="inlineStr"/>
      <c r="VBP79" s="278" t="inlineStr"/>
      <c r="VBQ79" s="278" t="inlineStr"/>
      <c r="VBR79" s="278" t="inlineStr"/>
      <c r="VBS79" s="278" t="inlineStr"/>
      <c r="VBT79" s="278" t="inlineStr"/>
      <c r="VBU79" s="278" t="inlineStr"/>
      <c r="VBV79" s="278" t="inlineStr"/>
      <c r="VBW79" s="278" t="inlineStr"/>
      <c r="VBX79" s="278" t="inlineStr"/>
      <c r="VBY79" s="278" t="inlineStr"/>
      <c r="VBZ79" s="278" t="inlineStr"/>
      <c r="VCA79" s="278" t="inlineStr"/>
      <c r="VCB79" s="278" t="inlineStr"/>
      <c r="VCC79" s="278" t="inlineStr"/>
      <c r="VCD79" s="278" t="inlineStr"/>
      <c r="VCE79" s="278" t="inlineStr"/>
      <c r="VCF79" s="278" t="inlineStr"/>
      <c r="VCG79" s="278" t="inlineStr"/>
      <c r="VCH79" s="278" t="inlineStr"/>
      <c r="VCI79" s="278" t="inlineStr"/>
      <c r="VCJ79" s="278" t="inlineStr"/>
      <c r="VCK79" s="278" t="inlineStr"/>
      <c r="VCL79" s="278" t="inlineStr"/>
      <c r="VCM79" s="278" t="inlineStr"/>
      <c r="VCN79" s="278" t="inlineStr"/>
      <c r="VCO79" s="278" t="inlineStr"/>
      <c r="VCP79" s="278" t="inlineStr"/>
      <c r="VCQ79" s="278" t="inlineStr"/>
      <c r="VCR79" s="278" t="inlineStr"/>
      <c r="VCS79" s="278" t="inlineStr"/>
      <c r="VCT79" s="278" t="inlineStr"/>
      <c r="VCU79" s="278" t="inlineStr"/>
      <c r="VCV79" s="278" t="inlineStr"/>
      <c r="VCW79" s="278" t="inlineStr"/>
      <c r="VCX79" s="278" t="inlineStr"/>
      <c r="VCY79" s="278" t="inlineStr"/>
      <c r="VCZ79" s="278" t="inlineStr"/>
      <c r="VDA79" s="278" t="inlineStr"/>
      <c r="VDB79" s="278" t="inlineStr"/>
      <c r="VDC79" s="278" t="inlineStr"/>
      <c r="VDD79" s="278" t="inlineStr"/>
      <c r="VDE79" s="278" t="inlineStr"/>
      <c r="VDF79" s="278" t="inlineStr"/>
      <c r="VDG79" s="278" t="inlineStr"/>
      <c r="VDH79" s="278" t="inlineStr"/>
      <c r="VDI79" s="278" t="inlineStr"/>
      <c r="VDJ79" s="278" t="inlineStr"/>
      <c r="VDK79" s="278" t="inlineStr"/>
      <c r="VDL79" s="278" t="inlineStr"/>
      <c r="VDM79" s="278" t="inlineStr"/>
      <c r="VDN79" s="278" t="inlineStr"/>
      <c r="VDO79" s="278" t="inlineStr"/>
      <c r="VDP79" s="278" t="inlineStr"/>
      <c r="VDQ79" s="278" t="inlineStr"/>
      <c r="VDR79" s="278" t="inlineStr"/>
      <c r="VDS79" s="278" t="inlineStr"/>
      <c r="VDT79" s="278" t="inlineStr"/>
      <c r="VDU79" s="278" t="inlineStr"/>
      <c r="VDV79" s="278" t="inlineStr"/>
      <c r="VDW79" s="278" t="inlineStr"/>
      <c r="VDX79" s="278" t="inlineStr"/>
      <c r="VDY79" s="278" t="inlineStr"/>
      <c r="VDZ79" s="278" t="inlineStr"/>
      <c r="VEA79" s="278" t="inlineStr"/>
      <c r="VEB79" s="278" t="inlineStr"/>
      <c r="VEC79" s="278" t="inlineStr"/>
      <c r="VED79" s="278" t="inlineStr"/>
      <c r="VEE79" s="278" t="inlineStr"/>
      <c r="VEF79" s="278" t="inlineStr"/>
      <c r="VEG79" s="278" t="inlineStr"/>
      <c r="VEH79" s="278" t="inlineStr"/>
      <c r="VEI79" s="278" t="inlineStr"/>
      <c r="VEJ79" s="278" t="inlineStr"/>
      <c r="VEK79" s="278" t="inlineStr"/>
      <c r="VEL79" s="278" t="inlineStr"/>
      <c r="VEM79" s="278" t="inlineStr"/>
      <c r="VEN79" s="278" t="inlineStr"/>
      <c r="VEO79" s="278" t="inlineStr"/>
      <c r="VEP79" s="278" t="inlineStr"/>
      <c r="VEQ79" s="278" t="inlineStr"/>
      <c r="VER79" s="278" t="inlineStr"/>
      <c r="VES79" s="278" t="inlineStr"/>
      <c r="VET79" s="278" t="inlineStr"/>
      <c r="VEU79" s="278" t="inlineStr"/>
      <c r="VEV79" s="278" t="inlineStr"/>
      <c r="VEW79" s="278" t="inlineStr"/>
      <c r="VEX79" s="278" t="inlineStr"/>
      <c r="VEY79" s="278" t="inlineStr"/>
      <c r="VEZ79" s="278" t="inlineStr"/>
      <c r="VFA79" s="278" t="inlineStr"/>
      <c r="VFB79" s="278" t="inlineStr"/>
      <c r="VFC79" s="278" t="inlineStr"/>
      <c r="VFD79" s="278" t="inlineStr"/>
      <c r="VFE79" s="278" t="inlineStr"/>
      <c r="VFF79" s="278" t="inlineStr"/>
      <c r="VFG79" s="278" t="inlineStr"/>
      <c r="VFH79" s="278" t="inlineStr"/>
      <c r="VFI79" s="278" t="inlineStr"/>
      <c r="VFJ79" s="278" t="inlineStr"/>
      <c r="VFK79" s="278" t="inlineStr"/>
      <c r="VFL79" s="278" t="inlineStr"/>
      <c r="VFM79" s="278" t="inlineStr"/>
      <c r="VFN79" s="278" t="inlineStr"/>
      <c r="VFO79" s="278" t="inlineStr"/>
      <c r="VFP79" s="278" t="inlineStr"/>
      <c r="VFQ79" s="278" t="inlineStr"/>
      <c r="VFR79" s="278" t="inlineStr"/>
      <c r="VFS79" s="278" t="inlineStr"/>
      <c r="VFT79" s="278" t="inlineStr"/>
      <c r="VFU79" s="278" t="inlineStr"/>
      <c r="VFV79" s="278" t="inlineStr"/>
      <c r="VFW79" s="278" t="inlineStr"/>
      <c r="VFX79" s="278" t="inlineStr"/>
      <c r="VFY79" s="278" t="inlineStr"/>
      <c r="VFZ79" s="278" t="inlineStr"/>
      <c r="VGA79" s="278" t="inlineStr"/>
      <c r="VGB79" s="278" t="inlineStr"/>
      <c r="VGC79" s="278" t="inlineStr"/>
      <c r="VGD79" s="278" t="inlineStr"/>
      <c r="VGE79" s="278" t="inlineStr"/>
      <c r="VGF79" s="278" t="inlineStr"/>
      <c r="VGG79" s="278" t="inlineStr"/>
      <c r="VGH79" s="278" t="inlineStr"/>
      <c r="VGI79" s="278" t="inlineStr"/>
      <c r="VGJ79" s="278" t="inlineStr"/>
      <c r="VGK79" s="278" t="inlineStr"/>
      <c r="VGL79" s="278" t="inlineStr"/>
      <c r="VGM79" s="278" t="inlineStr"/>
      <c r="VGN79" s="278" t="inlineStr"/>
      <c r="VGO79" s="278" t="inlineStr"/>
      <c r="VGP79" s="278" t="inlineStr"/>
      <c r="VGQ79" s="278" t="inlineStr"/>
      <c r="VGR79" s="278" t="inlineStr"/>
      <c r="VGS79" s="278" t="inlineStr"/>
      <c r="VGT79" s="278" t="inlineStr"/>
      <c r="VGU79" s="278" t="inlineStr"/>
      <c r="VGV79" s="278" t="inlineStr"/>
      <c r="VGW79" s="278" t="inlineStr"/>
      <c r="VGX79" s="278" t="inlineStr"/>
      <c r="VGY79" s="278" t="inlineStr"/>
      <c r="VGZ79" s="278" t="inlineStr"/>
      <c r="VHA79" s="278" t="inlineStr"/>
      <c r="VHB79" s="278" t="inlineStr"/>
      <c r="VHC79" s="278" t="inlineStr"/>
      <c r="VHD79" s="278" t="inlineStr"/>
      <c r="VHE79" s="278" t="inlineStr"/>
      <c r="VHF79" s="278" t="inlineStr"/>
      <c r="VHG79" s="278" t="inlineStr"/>
      <c r="VHH79" s="278" t="inlineStr"/>
      <c r="VHI79" s="278" t="inlineStr"/>
      <c r="VHJ79" s="278" t="inlineStr"/>
      <c r="VHK79" s="278" t="inlineStr"/>
      <c r="VHL79" s="278" t="inlineStr"/>
      <c r="VHM79" s="278" t="inlineStr"/>
      <c r="VHN79" s="278" t="inlineStr"/>
      <c r="VHO79" s="278" t="inlineStr"/>
      <c r="VHP79" s="278" t="inlineStr"/>
      <c r="VHQ79" s="278" t="inlineStr"/>
      <c r="VHR79" s="278" t="inlineStr"/>
      <c r="VHS79" s="278" t="inlineStr"/>
      <c r="VHT79" s="278" t="inlineStr"/>
      <c r="VHU79" s="278" t="inlineStr"/>
      <c r="VHV79" s="278" t="inlineStr"/>
      <c r="VHW79" s="278" t="inlineStr"/>
      <c r="VHX79" s="278" t="inlineStr"/>
      <c r="VHY79" s="278" t="inlineStr"/>
      <c r="VHZ79" s="278" t="inlineStr"/>
      <c r="VIA79" s="278" t="inlineStr"/>
      <c r="VIB79" s="278" t="inlineStr"/>
      <c r="VIC79" s="278" t="inlineStr"/>
      <c r="VID79" s="278" t="inlineStr"/>
      <c r="VIE79" s="278" t="inlineStr"/>
      <c r="VIF79" s="278" t="inlineStr"/>
      <c r="VIG79" s="278" t="inlineStr"/>
      <c r="VIH79" s="278" t="inlineStr"/>
      <c r="VII79" s="278" t="inlineStr"/>
      <c r="VIJ79" s="278" t="inlineStr"/>
      <c r="VIK79" s="278" t="inlineStr"/>
      <c r="VIL79" s="278" t="inlineStr"/>
      <c r="VIM79" s="278" t="inlineStr"/>
      <c r="VIN79" s="278" t="inlineStr"/>
      <c r="VIO79" s="278" t="inlineStr"/>
      <c r="VIP79" s="278" t="inlineStr"/>
      <c r="VIQ79" s="278" t="inlineStr"/>
      <c r="VIR79" s="278" t="inlineStr"/>
      <c r="VIS79" s="278" t="inlineStr"/>
      <c r="VIT79" s="278" t="inlineStr"/>
      <c r="VIU79" s="278" t="inlineStr"/>
      <c r="VIV79" s="278" t="inlineStr"/>
      <c r="VIW79" s="278" t="inlineStr"/>
      <c r="VIX79" s="278" t="inlineStr"/>
      <c r="VIY79" s="278" t="inlineStr"/>
      <c r="VIZ79" s="278" t="inlineStr"/>
      <c r="VJA79" s="278" t="inlineStr"/>
      <c r="VJB79" s="278" t="inlineStr"/>
      <c r="VJC79" s="278" t="inlineStr"/>
      <c r="VJD79" s="278" t="inlineStr"/>
      <c r="VJE79" s="278" t="inlineStr"/>
      <c r="VJF79" s="278" t="inlineStr"/>
      <c r="VJG79" s="278" t="inlineStr"/>
      <c r="VJH79" s="278" t="inlineStr"/>
      <c r="VJI79" s="278" t="inlineStr"/>
      <c r="VJJ79" s="278" t="inlineStr"/>
      <c r="VJK79" s="278" t="inlineStr"/>
      <c r="VJL79" s="278" t="inlineStr"/>
      <c r="VJM79" s="278" t="inlineStr"/>
      <c r="VJN79" s="278" t="inlineStr"/>
      <c r="VJO79" s="278" t="inlineStr"/>
      <c r="VJP79" s="278" t="inlineStr"/>
      <c r="VJQ79" s="278" t="inlineStr"/>
      <c r="VJR79" s="278" t="inlineStr"/>
      <c r="VJS79" s="278" t="inlineStr"/>
      <c r="VJT79" s="278" t="inlineStr"/>
      <c r="VJU79" s="278" t="inlineStr"/>
      <c r="VJV79" s="278" t="inlineStr"/>
      <c r="VJW79" s="278" t="inlineStr"/>
      <c r="VJX79" s="278" t="inlineStr"/>
      <c r="VJY79" s="278" t="inlineStr"/>
      <c r="VJZ79" s="278" t="inlineStr"/>
      <c r="VKA79" s="278" t="inlineStr"/>
      <c r="VKB79" s="278" t="inlineStr"/>
      <c r="VKC79" s="278" t="inlineStr"/>
      <c r="VKD79" s="278" t="inlineStr"/>
      <c r="VKE79" s="278" t="inlineStr"/>
      <c r="VKF79" s="278" t="inlineStr"/>
      <c r="VKG79" s="278" t="inlineStr"/>
      <c r="VKH79" s="278" t="inlineStr"/>
      <c r="VKI79" s="278" t="inlineStr"/>
      <c r="VKJ79" s="278" t="inlineStr"/>
      <c r="VKK79" s="278" t="inlineStr"/>
      <c r="VKL79" s="278" t="inlineStr"/>
      <c r="VKM79" s="278" t="inlineStr"/>
      <c r="VKN79" s="278" t="inlineStr"/>
      <c r="VKO79" s="278" t="inlineStr"/>
      <c r="VKP79" s="278" t="inlineStr"/>
      <c r="VKQ79" s="278" t="inlineStr"/>
      <c r="VKR79" s="278" t="inlineStr"/>
      <c r="VKS79" s="278" t="inlineStr"/>
      <c r="VKT79" s="278" t="inlineStr"/>
      <c r="VKU79" s="278" t="inlineStr"/>
      <c r="VKV79" s="278" t="inlineStr"/>
      <c r="VKW79" s="278" t="inlineStr"/>
      <c r="VKX79" s="278" t="inlineStr"/>
      <c r="VKY79" s="278" t="inlineStr"/>
      <c r="VKZ79" s="278" t="inlineStr"/>
      <c r="VLA79" s="278" t="inlineStr"/>
      <c r="VLB79" s="278" t="inlineStr"/>
      <c r="VLC79" s="278" t="inlineStr"/>
      <c r="VLD79" s="278" t="inlineStr"/>
      <c r="VLE79" s="278" t="inlineStr"/>
      <c r="VLF79" s="278" t="inlineStr"/>
      <c r="VLG79" s="278" t="inlineStr"/>
      <c r="VLH79" s="278" t="inlineStr"/>
      <c r="VLI79" s="278" t="inlineStr"/>
      <c r="VLJ79" s="278" t="inlineStr"/>
      <c r="VLK79" s="278" t="inlineStr"/>
      <c r="VLL79" s="278" t="inlineStr"/>
      <c r="VLM79" s="278" t="inlineStr"/>
      <c r="VLN79" s="278" t="inlineStr"/>
      <c r="VLO79" s="278" t="inlineStr"/>
      <c r="VLP79" s="278" t="inlineStr"/>
      <c r="VLQ79" s="278" t="inlineStr"/>
      <c r="VLR79" s="278" t="inlineStr"/>
      <c r="VLS79" s="278" t="inlineStr"/>
      <c r="VLT79" s="278" t="inlineStr"/>
      <c r="VLU79" s="278" t="inlineStr"/>
      <c r="VLV79" s="278" t="inlineStr"/>
      <c r="VLW79" s="278" t="inlineStr"/>
      <c r="VLX79" s="278" t="inlineStr"/>
      <c r="VLY79" s="278" t="inlineStr"/>
      <c r="VLZ79" s="278" t="inlineStr"/>
      <c r="VMA79" s="278" t="inlineStr"/>
      <c r="VMB79" s="278" t="inlineStr"/>
      <c r="VMC79" s="278" t="inlineStr"/>
      <c r="VMD79" s="278" t="inlineStr"/>
      <c r="VME79" s="278" t="inlineStr"/>
      <c r="VMF79" s="278" t="inlineStr"/>
      <c r="VMG79" s="278" t="inlineStr"/>
      <c r="VMH79" s="278" t="inlineStr"/>
      <c r="VMI79" s="278" t="inlineStr"/>
      <c r="VMJ79" s="278" t="inlineStr"/>
      <c r="VMK79" s="278" t="inlineStr"/>
      <c r="VML79" s="278" t="inlineStr"/>
      <c r="VMM79" s="278" t="inlineStr"/>
      <c r="VMN79" s="278" t="inlineStr"/>
      <c r="VMO79" s="278" t="inlineStr"/>
      <c r="VMP79" s="278" t="inlineStr"/>
      <c r="VMQ79" s="278" t="inlineStr"/>
      <c r="VMR79" s="278" t="inlineStr"/>
      <c r="VMS79" s="278" t="inlineStr"/>
      <c r="VMT79" s="278" t="inlineStr"/>
      <c r="VMU79" s="278" t="inlineStr"/>
      <c r="VMV79" s="278" t="inlineStr"/>
      <c r="VMW79" s="278" t="inlineStr"/>
      <c r="VMX79" s="278" t="inlineStr"/>
      <c r="VMY79" s="278" t="inlineStr"/>
      <c r="VMZ79" s="278" t="inlineStr"/>
      <c r="VNA79" s="278" t="inlineStr"/>
      <c r="VNB79" s="278" t="inlineStr"/>
      <c r="VNC79" s="278" t="inlineStr"/>
      <c r="VND79" s="278" t="inlineStr"/>
      <c r="VNE79" s="278" t="inlineStr"/>
      <c r="VNF79" s="278" t="inlineStr"/>
      <c r="VNG79" s="278" t="inlineStr"/>
      <c r="VNH79" s="278" t="inlineStr"/>
      <c r="VNI79" s="278" t="inlineStr"/>
      <c r="VNJ79" s="278" t="inlineStr"/>
      <c r="VNK79" s="278" t="inlineStr"/>
      <c r="VNL79" s="278" t="inlineStr"/>
      <c r="VNM79" s="278" t="inlineStr"/>
      <c r="VNN79" s="278" t="inlineStr"/>
      <c r="VNO79" s="278" t="inlineStr"/>
      <c r="VNP79" s="278" t="inlineStr"/>
      <c r="VNQ79" s="278" t="inlineStr"/>
      <c r="VNR79" s="278" t="inlineStr"/>
      <c r="VNS79" s="278" t="inlineStr"/>
      <c r="VNT79" s="278" t="inlineStr"/>
      <c r="VNU79" s="278" t="inlineStr"/>
      <c r="VNV79" s="278" t="inlineStr"/>
      <c r="VNW79" s="278" t="inlineStr"/>
      <c r="VNX79" s="278" t="inlineStr"/>
      <c r="VNY79" s="278" t="inlineStr"/>
      <c r="VNZ79" s="278" t="inlineStr"/>
      <c r="VOA79" s="278" t="inlineStr"/>
      <c r="VOB79" s="278" t="inlineStr"/>
      <c r="VOC79" s="278" t="inlineStr"/>
      <c r="VOD79" s="278" t="inlineStr"/>
      <c r="VOE79" s="278" t="inlineStr"/>
      <c r="VOF79" s="278" t="inlineStr"/>
      <c r="VOG79" s="278" t="inlineStr"/>
      <c r="VOH79" s="278" t="inlineStr"/>
      <c r="VOI79" s="278" t="inlineStr"/>
      <c r="VOJ79" s="278" t="inlineStr"/>
      <c r="VOK79" s="278" t="inlineStr"/>
      <c r="VOL79" s="278" t="inlineStr"/>
      <c r="VOM79" s="278" t="inlineStr"/>
      <c r="VON79" s="278" t="inlineStr"/>
      <c r="VOO79" s="278" t="inlineStr"/>
      <c r="VOP79" s="278" t="inlineStr"/>
      <c r="VOQ79" s="278" t="inlineStr"/>
      <c r="VOR79" s="278" t="inlineStr"/>
      <c r="VOS79" s="278" t="inlineStr"/>
      <c r="VOT79" s="278" t="inlineStr"/>
      <c r="VOU79" s="278" t="inlineStr"/>
      <c r="VOV79" s="278" t="inlineStr"/>
      <c r="VOW79" s="278" t="inlineStr"/>
      <c r="VOX79" s="278" t="inlineStr"/>
      <c r="VOY79" s="278" t="inlineStr"/>
      <c r="VOZ79" s="278" t="inlineStr"/>
      <c r="VPA79" s="278" t="inlineStr"/>
      <c r="VPB79" s="278" t="inlineStr"/>
      <c r="VPC79" s="278" t="inlineStr"/>
      <c r="VPD79" s="278" t="inlineStr"/>
      <c r="VPE79" s="278" t="inlineStr"/>
      <c r="VPF79" s="278" t="inlineStr"/>
      <c r="VPG79" s="278" t="inlineStr"/>
      <c r="VPH79" s="278" t="inlineStr"/>
      <c r="VPI79" s="278" t="inlineStr"/>
      <c r="VPJ79" s="278" t="inlineStr"/>
      <c r="VPK79" s="278" t="inlineStr"/>
      <c r="VPL79" s="278" t="inlineStr"/>
      <c r="VPM79" s="278" t="inlineStr"/>
      <c r="VPN79" s="278" t="inlineStr"/>
      <c r="VPO79" s="278" t="inlineStr"/>
      <c r="VPP79" s="278" t="inlineStr"/>
      <c r="VPQ79" s="278" t="inlineStr"/>
      <c r="VPR79" s="278" t="inlineStr"/>
      <c r="VPS79" s="278" t="inlineStr"/>
      <c r="VPT79" s="278" t="inlineStr"/>
      <c r="VPU79" s="278" t="inlineStr"/>
      <c r="VPV79" s="278" t="inlineStr"/>
      <c r="VPW79" s="278" t="inlineStr"/>
      <c r="VPX79" s="278" t="inlineStr"/>
      <c r="VPY79" s="278" t="inlineStr"/>
      <c r="VPZ79" s="278" t="inlineStr"/>
      <c r="VQA79" s="278" t="inlineStr"/>
      <c r="VQB79" s="278" t="inlineStr"/>
      <c r="VQC79" s="278" t="inlineStr"/>
      <c r="VQD79" s="278" t="inlineStr"/>
      <c r="VQE79" s="278" t="inlineStr"/>
      <c r="VQF79" s="278" t="inlineStr"/>
      <c r="VQG79" s="278" t="inlineStr"/>
      <c r="VQH79" s="278" t="inlineStr"/>
      <c r="VQI79" s="278" t="inlineStr"/>
      <c r="VQJ79" s="278" t="inlineStr"/>
      <c r="VQK79" s="278" t="inlineStr"/>
      <c r="VQL79" s="278" t="inlineStr"/>
      <c r="VQM79" s="278" t="inlineStr"/>
      <c r="VQN79" s="278" t="inlineStr"/>
      <c r="VQO79" s="278" t="inlineStr"/>
      <c r="VQP79" s="278" t="inlineStr"/>
      <c r="VQQ79" s="278" t="inlineStr"/>
      <c r="VQR79" s="278" t="inlineStr"/>
      <c r="VQS79" s="278" t="inlineStr"/>
      <c r="VQT79" s="278" t="inlineStr"/>
      <c r="VQU79" s="278" t="inlineStr"/>
      <c r="VQV79" s="278" t="inlineStr"/>
      <c r="VQW79" s="278" t="inlineStr"/>
      <c r="VQX79" s="278" t="inlineStr"/>
      <c r="VQY79" s="278" t="inlineStr"/>
      <c r="VQZ79" s="278" t="inlineStr"/>
      <c r="VRA79" s="278" t="inlineStr"/>
      <c r="VRB79" s="278" t="inlineStr"/>
      <c r="VRC79" s="278" t="inlineStr"/>
      <c r="VRD79" s="278" t="inlineStr"/>
      <c r="VRE79" s="278" t="inlineStr"/>
      <c r="VRF79" s="278" t="inlineStr"/>
      <c r="VRG79" s="278" t="inlineStr"/>
      <c r="VRH79" s="278" t="inlineStr"/>
      <c r="VRI79" s="278" t="inlineStr"/>
      <c r="VRJ79" s="278" t="inlineStr"/>
      <c r="VRK79" s="278" t="inlineStr"/>
      <c r="VRL79" s="278" t="inlineStr"/>
      <c r="VRM79" s="278" t="inlineStr"/>
      <c r="VRN79" s="278" t="inlineStr"/>
      <c r="VRO79" s="278" t="inlineStr"/>
      <c r="VRP79" s="278" t="inlineStr"/>
      <c r="VRQ79" s="278" t="inlineStr"/>
      <c r="VRR79" s="278" t="inlineStr"/>
      <c r="VRS79" s="278" t="inlineStr"/>
      <c r="VRT79" s="278" t="inlineStr"/>
      <c r="VRU79" s="278" t="inlineStr"/>
      <c r="VRV79" s="278" t="inlineStr"/>
      <c r="VRW79" s="278" t="inlineStr"/>
      <c r="VRX79" s="278" t="inlineStr"/>
      <c r="VRY79" s="278" t="inlineStr"/>
      <c r="VRZ79" s="278" t="inlineStr"/>
      <c r="VSA79" s="278" t="inlineStr"/>
      <c r="VSB79" s="278" t="inlineStr"/>
      <c r="VSC79" s="278" t="inlineStr"/>
      <c r="VSD79" s="278" t="inlineStr"/>
      <c r="VSE79" s="278" t="inlineStr"/>
      <c r="VSF79" s="278" t="inlineStr"/>
      <c r="VSG79" s="278" t="inlineStr"/>
      <c r="VSH79" s="278" t="inlineStr"/>
      <c r="VSI79" s="278" t="inlineStr"/>
      <c r="VSJ79" s="278" t="inlineStr"/>
      <c r="VSK79" s="278" t="inlineStr"/>
      <c r="VSL79" s="278" t="inlineStr"/>
      <c r="VSM79" s="278" t="inlineStr"/>
      <c r="VSN79" s="278" t="inlineStr"/>
      <c r="VSO79" s="278" t="inlineStr"/>
      <c r="VSP79" s="278" t="inlineStr"/>
      <c r="VSQ79" s="278" t="inlineStr"/>
      <c r="VSR79" s="278" t="inlineStr"/>
      <c r="VSS79" s="278" t="inlineStr"/>
      <c r="VST79" s="278" t="inlineStr"/>
      <c r="VSU79" s="278" t="inlineStr"/>
      <c r="VSV79" s="278" t="inlineStr"/>
      <c r="VSW79" s="278" t="inlineStr"/>
      <c r="VSX79" s="278" t="inlineStr"/>
      <c r="VSY79" s="278" t="inlineStr"/>
      <c r="VSZ79" s="278" t="inlineStr"/>
      <c r="VTA79" s="278" t="inlineStr"/>
      <c r="VTB79" s="278" t="inlineStr"/>
      <c r="VTC79" s="278" t="inlineStr"/>
      <c r="VTD79" s="278" t="inlineStr"/>
      <c r="VTE79" s="278" t="inlineStr"/>
      <c r="VTF79" s="278" t="inlineStr"/>
      <c r="VTG79" s="278" t="inlineStr"/>
      <c r="VTH79" s="278" t="inlineStr"/>
      <c r="VTI79" s="278" t="inlineStr"/>
      <c r="VTJ79" s="278" t="inlineStr"/>
      <c r="VTK79" s="278" t="inlineStr"/>
      <c r="VTL79" s="278" t="inlineStr"/>
      <c r="VTM79" s="278" t="inlineStr"/>
      <c r="VTN79" s="278" t="inlineStr"/>
      <c r="VTO79" s="278" t="inlineStr"/>
      <c r="VTP79" s="278" t="inlineStr"/>
      <c r="VTQ79" s="278" t="inlineStr"/>
      <c r="VTR79" s="278" t="inlineStr"/>
      <c r="VTS79" s="278" t="inlineStr"/>
      <c r="VTT79" s="278" t="inlineStr"/>
      <c r="VTU79" s="278" t="inlineStr"/>
      <c r="VTV79" s="278" t="inlineStr"/>
      <c r="VTW79" s="278" t="inlineStr"/>
      <c r="VTX79" s="278" t="inlineStr"/>
      <c r="VTY79" s="278" t="inlineStr"/>
      <c r="VTZ79" s="278" t="inlineStr"/>
      <c r="VUA79" s="278" t="inlineStr"/>
      <c r="VUB79" s="278" t="inlineStr"/>
      <c r="VUC79" s="278" t="inlineStr"/>
      <c r="VUD79" s="278" t="inlineStr"/>
      <c r="VUE79" s="278" t="inlineStr"/>
      <c r="VUF79" s="278" t="inlineStr"/>
      <c r="VUG79" s="278" t="inlineStr"/>
      <c r="VUH79" s="278" t="inlineStr"/>
      <c r="VUI79" s="278" t="inlineStr"/>
      <c r="VUJ79" s="278" t="inlineStr"/>
      <c r="VUK79" s="278" t="inlineStr"/>
      <c r="VUL79" s="278" t="inlineStr"/>
      <c r="VUM79" s="278" t="inlineStr"/>
      <c r="VUN79" s="278" t="inlineStr"/>
      <c r="VUO79" s="278" t="inlineStr"/>
      <c r="VUP79" s="278" t="inlineStr"/>
      <c r="VUQ79" s="278" t="inlineStr"/>
      <c r="VUR79" s="278" t="inlineStr"/>
      <c r="VUS79" s="278" t="inlineStr"/>
      <c r="VUT79" s="278" t="inlineStr"/>
      <c r="VUU79" s="278" t="inlineStr"/>
      <c r="VUV79" s="278" t="inlineStr"/>
      <c r="VUW79" s="278" t="inlineStr"/>
      <c r="VUX79" s="278" t="inlineStr"/>
      <c r="VUY79" s="278" t="inlineStr"/>
      <c r="VUZ79" s="278" t="inlineStr"/>
      <c r="VVA79" s="278" t="inlineStr"/>
      <c r="VVB79" s="278" t="inlineStr"/>
      <c r="VVC79" s="278" t="inlineStr"/>
      <c r="VVD79" s="278" t="inlineStr"/>
      <c r="VVE79" s="278" t="inlineStr"/>
      <c r="VVF79" s="278" t="inlineStr"/>
      <c r="VVG79" s="278" t="inlineStr"/>
      <c r="VVH79" s="278" t="inlineStr"/>
      <c r="VVI79" s="278" t="inlineStr"/>
      <c r="VVJ79" s="278" t="inlineStr"/>
      <c r="VVK79" s="278" t="inlineStr"/>
      <c r="VVL79" s="278" t="inlineStr"/>
      <c r="VVM79" s="278" t="inlineStr"/>
      <c r="VVN79" s="278" t="inlineStr"/>
      <c r="VVO79" s="278" t="inlineStr"/>
      <c r="VVP79" s="278" t="inlineStr"/>
      <c r="VVQ79" s="278" t="inlineStr"/>
      <c r="VVR79" s="278" t="inlineStr"/>
      <c r="VVS79" s="278" t="inlineStr"/>
      <c r="VVT79" s="278" t="inlineStr"/>
      <c r="VVU79" s="278" t="inlineStr"/>
      <c r="VVV79" s="278" t="inlineStr"/>
      <c r="VVW79" s="278" t="inlineStr"/>
      <c r="VVX79" s="278" t="inlineStr"/>
      <c r="VVY79" s="278" t="inlineStr"/>
      <c r="VVZ79" s="278" t="inlineStr"/>
      <c r="VWA79" s="278" t="inlineStr"/>
      <c r="VWB79" s="278" t="inlineStr"/>
      <c r="VWC79" s="278" t="inlineStr"/>
      <c r="VWD79" s="278" t="inlineStr"/>
      <c r="VWE79" s="278" t="inlineStr"/>
      <c r="VWF79" s="278" t="inlineStr"/>
      <c r="VWG79" s="278" t="inlineStr"/>
      <c r="VWH79" s="278" t="inlineStr"/>
      <c r="VWI79" s="278" t="inlineStr"/>
      <c r="VWJ79" s="278" t="inlineStr"/>
      <c r="VWK79" s="278" t="inlineStr"/>
      <c r="VWL79" s="278" t="inlineStr"/>
      <c r="VWM79" s="278" t="inlineStr"/>
      <c r="VWN79" s="278" t="inlineStr"/>
      <c r="VWO79" s="278" t="inlineStr"/>
      <c r="VWP79" s="278" t="inlineStr"/>
      <c r="VWQ79" s="278" t="inlineStr"/>
      <c r="VWR79" s="278" t="inlineStr"/>
      <c r="VWS79" s="278" t="inlineStr"/>
      <c r="VWT79" s="278" t="inlineStr"/>
      <c r="VWU79" s="278" t="inlineStr"/>
      <c r="VWV79" s="278" t="inlineStr"/>
      <c r="VWW79" s="278" t="inlineStr"/>
      <c r="VWX79" s="278" t="inlineStr"/>
      <c r="VWY79" s="278" t="inlineStr"/>
      <c r="VWZ79" s="278" t="inlineStr"/>
      <c r="VXA79" s="278" t="inlineStr"/>
      <c r="VXB79" s="278" t="inlineStr"/>
      <c r="VXC79" s="278" t="inlineStr"/>
      <c r="VXD79" s="278" t="inlineStr"/>
      <c r="VXE79" s="278" t="inlineStr"/>
      <c r="VXF79" s="278" t="inlineStr"/>
      <c r="VXG79" s="278" t="inlineStr"/>
      <c r="VXH79" s="278" t="inlineStr"/>
      <c r="VXI79" s="278" t="inlineStr"/>
      <c r="VXJ79" s="278" t="inlineStr"/>
      <c r="VXK79" s="278" t="inlineStr"/>
      <c r="VXL79" s="278" t="inlineStr"/>
      <c r="VXM79" s="278" t="inlineStr"/>
      <c r="VXN79" s="278" t="inlineStr"/>
      <c r="VXO79" s="278" t="inlineStr"/>
      <c r="VXP79" s="278" t="inlineStr"/>
      <c r="VXQ79" s="278" t="inlineStr"/>
      <c r="VXR79" s="278" t="inlineStr"/>
      <c r="VXS79" s="278" t="inlineStr"/>
      <c r="VXT79" s="278" t="inlineStr"/>
      <c r="VXU79" s="278" t="inlineStr"/>
      <c r="VXV79" s="278" t="inlineStr"/>
      <c r="VXW79" s="278" t="inlineStr"/>
      <c r="VXX79" s="278" t="inlineStr"/>
      <c r="VXY79" s="278" t="inlineStr"/>
      <c r="VXZ79" s="278" t="inlineStr"/>
      <c r="VYA79" s="278" t="inlineStr"/>
      <c r="VYB79" s="278" t="inlineStr"/>
      <c r="VYC79" s="278" t="inlineStr"/>
      <c r="VYD79" s="278" t="inlineStr"/>
      <c r="VYE79" s="278" t="inlineStr"/>
      <c r="VYF79" s="278" t="inlineStr"/>
      <c r="VYG79" s="278" t="inlineStr"/>
      <c r="VYH79" s="278" t="inlineStr"/>
      <c r="VYI79" s="278" t="inlineStr"/>
      <c r="VYJ79" s="278" t="inlineStr"/>
      <c r="VYK79" s="278" t="inlineStr"/>
      <c r="VYL79" s="278" t="inlineStr"/>
      <c r="VYM79" s="278" t="inlineStr"/>
      <c r="VYN79" s="278" t="inlineStr"/>
      <c r="VYO79" s="278" t="inlineStr"/>
      <c r="VYP79" s="278" t="inlineStr"/>
      <c r="VYQ79" s="278" t="inlineStr"/>
      <c r="VYR79" s="278" t="inlineStr"/>
      <c r="VYS79" s="278" t="inlineStr"/>
      <c r="VYT79" s="278" t="inlineStr"/>
      <c r="VYU79" s="278" t="inlineStr"/>
      <c r="VYV79" s="278" t="inlineStr"/>
      <c r="VYW79" s="278" t="inlineStr"/>
      <c r="VYX79" s="278" t="inlineStr"/>
      <c r="VYY79" s="278" t="inlineStr"/>
      <c r="VYZ79" s="278" t="inlineStr"/>
      <c r="VZA79" s="278" t="inlineStr"/>
      <c r="VZB79" s="278" t="inlineStr"/>
      <c r="VZC79" s="278" t="inlineStr"/>
      <c r="VZD79" s="278" t="inlineStr"/>
      <c r="VZE79" s="278" t="inlineStr"/>
      <c r="VZF79" s="278" t="inlineStr"/>
      <c r="VZG79" s="278" t="inlineStr"/>
      <c r="VZH79" s="278" t="inlineStr"/>
      <c r="VZI79" s="278" t="inlineStr"/>
      <c r="VZJ79" s="278" t="inlineStr"/>
      <c r="VZK79" s="278" t="inlineStr"/>
      <c r="VZL79" s="278" t="inlineStr"/>
      <c r="VZM79" s="278" t="inlineStr"/>
      <c r="VZN79" s="278" t="inlineStr"/>
      <c r="VZO79" s="278" t="inlineStr"/>
      <c r="VZP79" s="278" t="inlineStr"/>
      <c r="VZQ79" s="278" t="inlineStr"/>
      <c r="VZR79" s="278" t="inlineStr"/>
      <c r="VZS79" s="278" t="inlineStr"/>
      <c r="VZT79" s="278" t="inlineStr"/>
      <c r="VZU79" s="278" t="inlineStr"/>
      <c r="VZV79" s="278" t="inlineStr"/>
      <c r="VZW79" s="278" t="inlineStr"/>
      <c r="VZX79" s="278" t="inlineStr"/>
      <c r="VZY79" s="278" t="inlineStr"/>
      <c r="VZZ79" s="278" t="inlineStr"/>
      <c r="WAA79" s="278" t="inlineStr"/>
      <c r="WAB79" s="278" t="inlineStr"/>
      <c r="WAC79" s="278" t="inlineStr"/>
      <c r="WAD79" s="278" t="inlineStr"/>
      <c r="WAE79" s="278" t="inlineStr"/>
      <c r="WAF79" s="278" t="inlineStr"/>
      <c r="WAG79" s="278" t="inlineStr"/>
      <c r="WAH79" s="278" t="inlineStr"/>
      <c r="WAI79" s="278" t="inlineStr"/>
      <c r="WAJ79" s="278" t="inlineStr"/>
      <c r="WAK79" s="278" t="inlineStr"/>
      <c r="WAL79" s="278" t="inlineStr"/>
      <c r="WAM79" s="278" t="inlineStr"/>
      <c r="WAN79" s="278" t="inlineStr"/>
      <c r="WAO79" s="278" t="inlineStr"/>
      <c r="WAP79" s="278" t="inlineStr"/>
      <c r="WAQ79" s="278" t="inlineStr"/>
      <c r="WAR79" s="278" t="inlineStr"/>
      <c r="WAS79" s="278" t="inlineStr"/>
      <c r="WAT79" s="278" t="inlineStr"/>
      <c r="WAU79" s="278" t="inlineStr"/>
      <c r="WAV79" s="278" t="inlineStr"/>
      <c r="WAW79" s="278" t="inlineStr"/>
      <c r="WAX79" s="278" t="inlineStr"/>
      <c r="WAY79" s="278" t="inlineStr"/>
      <c r="WAZ79" s="278" t="inlineStr"/>
      <c r="WBA79" s="278" t="inlineStr"/>
      <c r="WBB79" s="278" t="inlineStr"/>
      <c r="WBC79" s="278" t="inlineStr"/>
      <c r="WBD79" s="278" t="inlineStr"/>
      <c r="WBE79" s="278" t="inlineStr"/>
      <c r="WBF79" s="278" t="inlineStr"/>
      <c r="WBG79" s="278" t="inlineStr"/>
      <c r="WBH79" s="278" t="inlineStr"/>
      <c r="WBI79" s="278" t="inlineStr"/>
      <c r="WBJ79" s="278" t="inlineStr"/>
      <c r="WBK79" s="278" t="inlineStr"/>
      <c r="WBL79" s="278" t="inlineStr"/>
      <c r="WBM79" s="278" t="inlineStr"/>
      <c r="WBN79" s="278" t="inlineStr"/>
      <c r="WBO79" s="278" t="inlineStr"/>
      <c r="WBP79" s="278" t="inlineStr"/>
      <c r="WBQ79" s="278" t="inlineStr"/>
      <c r="WBR79" s="278" t="inlineStr"/>
      <c r="WBS79" s="278" t="inlineStr"/>
      <c r="WBT79" s="278" t="inlineStr"/>
      <c r="WBU79" s="278" t="inlineStr"/>
      <c r="WBV79" s="278" t="inlineStr"/>
      <c r="WBW79" s="278" t="inlineStr"/>
      <c r="WBX79" s="278" t="inlineStr"/>
      <c r="WBY79" s="278" t="inlineStr"/>
      <c r="WBZ79" s="278" t="inlineStr"/>
      <c r="WCA79" s="278" t="inlineStr"/>
      <c r="WCB79" s="278" t="inlineStr"/>
      <c r="WCC79" s="278" t="inlineStr"/>
      <c r="WCD79" s="278" t="inlineStr"/>
      <c r="WCE79" s="278" t="inlineStr"/>
      <c r="WCF79" s="278" t="inlineStr"/>
      <c r="WCG79" s="278" t="inlineStr"/>
      <c r="WCH79" s="278" t="inlineStr"/>
      <c r="WCI79" s="278" t="inlineStr"/>
      <c r="WCJ79" s="278" t="inlineStr"/>
      <c r="WCK79" s="278" t="inlineStr"/>
      <c r="WCL79" s="278" t="inlineStr"/>
      <c r="WCM79" s="278" t="inlineStr"/>
      <c r="WCN79" s="278" t="inlineStr"/>
      <c r="WCO79" s="278" t="inlineStr"/>
      <c r="WCP79" s="278" t="inlineStr"/>
      <c r="WCQ79" s="278" t="inlineStr"/>
      <c r="WCR79" s="278" t="inlineStr"/>
      <c r="WCS79" s="278" t="inlineStr"/>
      <c r="WCT79" s="278" t="inlineStr"/>
      <c r="WCU79" s="278" t="inlineStr"/>
      <c r="WCV79" s="278" t="inlineStr"/>
      <c r="WCW79" s="278" t="inlineStr"/>
      <c r="WCX79" s="278" t="inlineStr"/>
      <c r="WCY79" s="278" t="inlineStr"/>
      <c r="WCZ79" s="278" t="inlineStr"/>
      <c r="WDA79" s="278" t="inlineStr"/>
      <c r="WDB79" s="278" t="inlineStr"/>
      <c r="WDC79" s="278" t="inlineStr"/>
      <c r="WDD79" s="278" t="inlineStr"/>
      <c r="WDE79" s="278" t="inlineStr"/>
      <c r="WDF79" s="278" t="inlineStr"/>
      <c r="WDG79" s="278" t="inlineStr"/>
      <c r="WDH79" s="278" t="inlineStr"/>
      <c r="WDI79" s="278" t="inlineStr"/>
      <c r="WDJ79" s="278" t="inlineStr"/>
      <c r="WDK79" s="278" t="inlineStr"/>
      <c r="WDL79" s="278" t="inlineStr"/>
      <c r="WDM79" s="278" t="inlineStr"/>
      <c r="WDN79" s="278" t="inlineStr"/>
      <c r="WDO79" s="278" t="inlineStr"/>
      <c r="WDP79" s="278" t="inlineStr"/>
      <c r="WDQ79" s="278" t="inlineStr"/>
      <c r="WDR79" s="278" t="inlineStr"/>
      <c r="WDS79" s="278" t="inlineStr"/>
      <c r="WDT79" s="278" t="inlineStr"/>
      <c r="WDU79" s="278" t="inlineStr"/>
      <c r="WDV79" s="278" t="inlineStr"/>
      <c r="WDW79" s="278" t="inlineStr"/>
      <c r="WDX79" s="278" t="inlineStr"/>
      <c r="WDY79" s="278" t="inlineStr"/>
      <c r="WDZ79" s="278" t="inlineStr"/>
      <c r="WEA79" s="278" t="inlineStr"/>
      <c r="WEB79" s="278" t="inlineStr"/>
      <c r="WEC79" s="278" t="inlineStr"/>
      <c r="WED79" s="278" t="inlineStr"/>
      <c r="WEE79" s="278" t="inlineStr"/>
      <c r="WEF79" s="278" t="inlineStr"/>
      <c r="WEG79" s="278" t="inlineStr"/>
      <c r="WEH79" s="278" t="inlineStr"/>
      <c r="WEI79" s="278" t="inlineStr"/>
      <c r="WEJ79" s="278" t="inlineStr"/>
      <c r="WEK79" s="278" t="inlineStr"/>
      <c r="WEL79" s="278" t="inlineStr"/>
      <c r="WEM79" s="278" t="inlineStr"/>
      <c r="WEN79" s="278" t="inlineStr"/>
      <c r="WEO79" s="278" t="inlineStr"/>
      <c r="WEP79" s="278" t="inlineStr"/>
      <c r="WEQ79" s="278" t="inlineStr"/>
      <c r="WER79" s="278" t="inlineStr"/>
      <c r="WES79" s="278" t="inlineStr"/>
      <c r="WET79" s="278" t="inlineStr"/>
      <c r="WEU79" s="278" t="inlineStr"/>
      <c r="WEV79" s="278" t="inlineStr"/>
      <c r="WEW79" s="278" t="inlineStr"/>
      <c r="WEX79" s="278" t="inlineStr"/>
      <c r="WEY79" s="278" t="inlineStr"/>
      <c r="WEZ79" s="278" t="inlineStr"/>
      <c r="WFA79" s="278" t="inlineStr"/>
      <c r="WFB79" s="278" t="inlineStr"/>
      <c r="WFC79" s="278" t="inlineStr"/>
      <c r="WFD79" s="278" t="inlineStr"/>
      <c r="WFE79" s="278" t="inlineStr"/>
      <c r="WFF79" s="278" t="inlineStr"/>
      <c r="WFG79" s="278" t="inlineStr"/>
      <c r="WFH79" s="278" t="inlineStr"/>
      <c r="WFI79" s="278" t="inlineStr"/>
      <c r="WFJ79" s="278" t="inlineStr"/>
      <c r="WFK79" s="278" t="inlineStr"/>
      <c r="WFL79" s="278" t="inlineStr"/>
      <c r="WFM79" s="278" t="inlineStr"/>
      <c r="WFN79" s="278" t="inlineStr"/>
      <c r="WFO79" s="278" t="inlineStr"/>
      <c r="WFP79" s="278" t="inlineStr"/>
      <c r="WFQ79" s="278" t="inlineStr"/>
      <c r="WFR79" s="278" t="inlineStr"/>
      <c r="WFS79" s="278" t="inlineStr"/>
      <c r="WFT79" s="278" t="inlineStr"/>
      <c r="WFU79" s="278" t="inlineStr"/>
      <c r="WFV79" s="278" t="inlineStr"/>
      <c r="WFW79" s="278" t="inlineStr"/>
      <c r="WFX79" s="278" t="inlineStr"/>
      <c r="WFY79" s="278" t="inlineStr"/>
      <c r="WFZ79" s="278" t="inlineStr"/>
      <c r="WGA79" s="278" t="inlineStr"/>
      <c r="WGB79" s="278" t="inlineStr"/>
      <c r="WGC79" s="278" t="inlineStr"/>
      <c r="WGD79" s="278" t="inlineStr"/>
      <c r="WGE79" s="278" t="inlineStr"/>
      <c r="WGF79" s="278" t="inlineStr"/>
      <c r="WGG79" s="278" t="inlineStr"/>
      <c r="WGH79" s="278" t="inlineStr"/>
      <c r="WGI79" s="278" t="inlineStr"/>
      <c r="WGJ79" s="278" t="inlineStr"/>
      <c r="WGK79" s="278" t="inlineStr"/>
      <c r="WGL79" s="278" t="inlineStr"/>
      <c r="WGM79" s="278" t="inlineStr"/>
      <c r="WGN79" s="278" t="inlineStr"/>
      <c r="WGO79" s="278" t="inlineStr"/>
      <c r="WGP79" s="278" t="inlineStr"/>
      <c r="WGQ79" s="278" t="inlineStr"/>
      <c r="WGR79" s="278" t="inlineStr"/>
      <c r="WGS79" s="278" t="inlineStr"/>
      <c r="WGT79" s="278" t="inlineStr"/>
      <c r="WGU79" s="278" t="inlineStr"/>
      <c r="WGV79" s="278" t="inlineStr"/>
      <c r="WGW79" s="278" t="inlineStr"/>
      <c r="WGX79" s="278" t="inlineStr"/>
      <c r="WGY79" s="278" t="inlineStr"/>
      <c r="WGZ79" s="278" t="inlineStr"/>
      <c r="WHA79" s="278" t="inlineStr"/>
      <c r="WHB79" s="278" t="inlineStr"/>
      <c r="WHC79" s="278" t="inlineStr"/>
      <c r="WHD79" s="278" t="inlineStr"/>
      <c r="WHE79" s="278" t="inlineStr"/>
      <c r="WHF79" s="278" t="inlineStr"/>
      <c r="WHG79" s="278" t="inlineStr"/>
      <c r="WHH79" s="278" t="inlineStr"/>
      <c r="WHI79" s="278" t="inlineStr"/>
      <c r="WHJ79" s="278" t="inlineStr"/>
      <c r="WHK79" s="278" t="inlineStr"/>
      <c r="WHL79" s="278" t="inlineStr"/>
      <c r="WHM79" s="278" t="inlineStr"/>
      <c r="WHN79" s="278" t="inlineStr"/>
      <c r="WHO79" s="278" t="inlineStr"/>
      <c r="WHP79" s="278" t="inlineStr"/>
      <c r="WHQ79" s="278" t="inlineStr"/>
      <c r="WHR79" s="278" t="inlineStr"/>
      <c r="WHS79" s="278" t="inlineStr"/>
      <c r="WHT79" s="278" t="inlineStr"/>
      <c r="WHU79" s="278" t="inlineStr"/>
      <c r="WHV79" s="278" t="inlineStr"/>
      <c r="WHW79" s="278" t="inlineStr"/>
      <c r="WHX79" s="278" t="inlineStr"/>
      <c r="WHY79" s="278" t="inlineStr"/>
      <c r="WHZ79" s="278" t="inlineStr"/>
      <c r="WIA79" s="278" t="inlineStr"/>
      <c r="WIB79" s="278" t="inlineStr"/>
      <c r="WIC79" s="278" t="inlineStr"/>
      <c r="WID79" s="278" t="inlineStr"/>
      <c r="WIE79" s="278" t="inlineStr"/>
      <c r="WIF79" s="278" t="inlineStr"/>
      <c r="WIG79" s="278" t="inlineStr"/>
      <c r="WIH79" s="278" t="inlineStr"/>
      <c r="WII79" s="278" t="inlineStr"/>
      <c r="WIJ79" s="278" t="inlineStr"/>
      <c r="WIK79" s="278" t="inlineStr"/>
      <c r="WIL79" s="278" t="inlineStr"/>
      <c r="WIM79" s="278" t="inlineStr"/>
      <c r="WIN79" s="278" t="inlineStr"/>
      <c r="WIO79" s="278" t="inlineStr"/>
      <c r="WIP79" s="278" t="inlineStr"/>
      <c r="WIQ79" s="278" t="inlineStr"/>
      <c r="WIR79" s="278" t="inlineStr"/>
      <c r="WIS79" s="278" t="inlineStr"/>
      <c r="WIT79" s="278" t="inlineStr"/>
      <c r="WIU79" s="278" t="inlineStr"/>
      <c r="WIV79" s="278" t="inlineStr"/>
      <c r="WIW79" s="278" t="inlineStr"/>
      <c r="WIX79" s="278" t="inlineStr"/>
      <c r="WIY79" s="278" t="inlineStr"/>
      <c r="WIZ79" s="278" t="inlineStr"/>
      <c r="WJA79" s="278" t="inlineStr"/>
      <c r="WJB79" s="278" t="inlineStr"/>
      <c r="WJC79" s="278" t="inlineStr"/>
      <c r="WJD79" s="278" t="inlineStr"/>
      <c r="WJE79" s="278" t="inlineStr"/>
      <c r="WJF79" s="278" t="inlineStr"/>
      <c r="WJG79" s="278" t="inlineStr"/>
      <c r="WJH79" s="278" t="inlineStr"/>
      <c r="WJI79" s="278" t="inlineStr"/>
      <c r="WJJ79" s="278" t="inlineStr"/>
      <c r="WJK79" s="278" t="inlineStr"/>
      <c r="WJL79" s="278" t="inlineStr"/>
      <c r="WJM79" s="278" t="inlineStr"/>
      <c r="WJN79" s="278" t="inlineStr"/>
      <c r="WJO79" s="278" t="inlineStr"/>
      <c r="WJP79" s="278" t="inlineStr"/>
      <c r="WJQ79" s="278" t="inlineStr"/>
      <c r="WJR79" s="278" t="inlineStr"/>
      <c r="WJS79" s="278" t="inlineStr"/>
      <c r="WJT79" s="278" t="inlineStr"/>
      <c r="WJU79" s="278" t="inlineStr"/>
      <c r="WJV79" s="278" t="inlineStr"/>
      <c r="WJW79" s="278" t="inlineStr"/>
      <c r="WJX79" s="278" t="inlineStr"/>
      <c r="WJY79" s="278" t="inlineStr"/>
      <c r="WJZ79" s="278" t="inlineStr"/>
      <c r="WKA79" s="278" t="inlineStr"/>
      <c r="WKB79" s="278" t="inlineStr"/>
      <c r="WKC79" s="278" t="inlineStr"/>
      <c r="WKD79" s="278" t="inlineStr"/>
      <c r="WKE79" s="278" t="inlineStr"/>
      <c r="WKF79" s="278" t="inlineStr"/>
      <c r="WKG79" s="278" t="inlineStr"/>
      <c r="WKH79" s="278" t="inlineStr"/>
      <c r="WKI79" s="278" t="inlineStr"/>
      <c r="WKJ79" s="278" t="inlineStr"/>
      <c r="WKK79" s="278" t="inlineStr"/>
      <c r="WKL79" s="278" t="inlineStr"/>
      <c r="WKM79" s="278" t="inlineStr"/>
      <c r="WKN79" s="278" t="inlineStr"/>
      <c r="WKO79" s="278" t="inlineStr"/>
      <c r="WKP79" s="278" t="inlineStr"/>
      <c r="WKQ79" s="278" t="inlineStr"/>
      <c r="WKR79" s="278" t="inlineStr"/>
      <c r="WKS79" s="278" t="inlineStr"/>
      <c r="WKT79" s="278" t="inlineStr"/>
      <c r="WKU79" s="278" t="inlineStr"/>
      <c r="WKV79" s="278" t="inlineStr"/>
      <c r="WKW79" s="278" t="inlineStr"/>
      <c r="WKX79" s="278" t="inlineStr"/>
      <c r="WKY79" s="278" t="inlineStr"/>
      <c r="WKZ79" s="278" t="inlineStr"/>
      <c r="WLA79" s="278" t="inlineStr"/>
      <c r="WLB79" s="278" t="inlineStr"/>
      <c r="WLC79" s="278" t="inlineStr"/>
      <c r="WLD79" s="278" t="inlineStr"/>
      <c r="WLE79" s="278" t="inlineStr"/>
      <c r="WLF79" s="278" t="inlineStr"/>
      <c r="WLG79" s="278" t="inlineStr"/>
      <c r="WLH79" s="278" t="inlineStr"/>
      <c r="WLI79" s="278" t="inlineStr"/>
      <c r="WLJ79" s="278" t="inlineStr"/>
      <c r="WLK79" s="278" t="inlineStr"/>
      <c r="WLL79" s="278" t="inlineStr"/>
      <c r="WLM79" s="278" t="inlineStr"/>
      <c r="WLN79" s="278" t="inlineStr"/>
      <c r="WLO79" s="278" t="inlineStr"/>
      <c r="WLP79" s="278" t="inlineStr"/>
      <c r="WLQ79" s="278" t="inlineStr"/>
      <c r="WLR79" s="278" t="inlineStr"/>
      <c r="WLS79" s="278" t="inlineStr"/>
      <c r="WLT79" s="278" t="inlineStr"/>
      <c r="WLU79" s="278" t="inlineStr"/>
      <c r="WLV79" s="278" t="inlineStr"/>
      <c r="WLW79" s="278" t="inlineStr"/>
      <c r="WLX79" s="278" t="inlineStr"/>
      <c r="WLY79" s="278" t="inlineStr"/>
      <c r="WLZ79" s="278" t="inlineStr"/>
      <c r="WMA79" s="278" t="inlineStr"/>
      <c r="WMB79" s="278" t="inlineStr"/>
      <c r="WMC79" s="278" t="inlineStr"/>
      <c r="WMD79" s="278" t="inlineStr"/>
      <c r="WME79" s="278" t="inlineStr"/>
      <c r="WMF79" s="278" t="inlineStr"/>
      <c r="WMG79" s="278" t="inlineStr"/>
      <c r="WMH79" s="278" t="inlineStr"/>
      <c r="WMI79" s="278" t="inlineStr"/>
      <c r="WMJ79" s="278" t="inlineStr"/>
      <c r="WMK79" s="278" t="inlineStr"/>
      <c r="WML79" s="278" t="inlineStr"/>
      <c r="WMM79" s="278" t="inlineStr"/>
      <c r="WMN79" s="278" t="inlineStr"/>
      <c r="WMO79" s="278" t="inlineStr"/>
      <c r="WMP79" s="278" t="inlineStr"/>
      <c r="WMQ79" s="278" t="inlineStr"/>
      <c r="WMR79" s="278" t="inlineStr"/>
      <c r="WMS79" s="278" t="inlineStr"/>
      <c r="WMT79" s="278" t="inlineStr"/>
      <c r="WMU79" s="278" t="inlineStr"/>
      <c r="WMV79" s="278" t="inlineStr"/>
      <c r="WMW79" s="278" t="inlineStr"/>
      <c r="WMX79" s="278" t="inlineStr"/>
      <c r="WMY79" s="278" t="inlineStr"/>
      <c r="WMZ79" s="278" t="inlineStr"/>
      <c r="WNA79" s="278" t="inlineStr"/>
      <c r="WNB79" s="278" t="inlineStr"/>
      <c r="WNC79" s="278" t="inlineStr"/>
      <c r="WND79" s="278" t="inlineStr"/>
      <c r="WNE79" s="278" t="inlineStr"/>
      <c r="WNF79" s="278" t="inlineStr"/>
      <c r="WNG79" s="278" t="inlineStr"/>
      <c r="WNH79" s="278" t="inlineStr"/>
      <c r="WNI79" s="278" t="inlineStr"/>
      <c r="WNJ79" s="278" t="inlineStr"/>
      <c r="WNK79" s="278" t="inlineStr"/>
      <c r="WNL79" s="278" t="inlineStr"/>
      <c r="WNM79" s="278" t="inlineStr"/>
      <c r="WNN79" s="278" t="inlineStr"/>
      <c r="WNO79" s="278" t="inlineStr"/>
      <c r="WNP79" s="278" t="inlineStr"/>
      <c r="WNQ79" s="278" t="inlineStr"/>
      <c r="WNR79" s="278" t="inlineStr"/>
      <c r="WNS79" s="278" t="inlineStr"/>
      <c r="WNT79" s="278" t="inlineStr"/>
      <c r="WNU79" s="278" t="inlineStr"/>
      <c r="WNV79" s="278" t="inlineStr"/>
      <c r="WNW79" s="278" t="inlineStr"/>
      <c r="WNX79" s="278" t="inlineStr"/>
      <c r="WNY79" s="278" t="inlineStr"/>
      <c r="WNZ79" s="278" t="inlineStr"/>
      <c r="WOA79" s="278" t="inlineStr"/>
      <c r="WOB79" s="278" t="inlineStr"/>
      <c r="WOC79" s="278" t="inlineStr"/>
      <c r="WOD79" s="278" t="inlineStr"/>
      <c r="WOE79" s="278" t="inlineStr"/>
      <c r="WOF79" s="278" t="inlineStr"/>
      <c r="WOG79" s="278" t="inlineStr"/>
      <c r="WOH79" s="278" t="inlineStr"/>
      <c r="WOI79" s="278" t="inlineStr"/>
      <c r="WOJ79" s="278" t="inlineStr"/>
      <c r="WOK79" s="278" t="inlineStr"/>
      <c r="WOL79" s="278" t="inlineStr"/>
      <c r="WOM79" s="278" t="inlineStr"/>
      <c r="WON79" s="278" t="inlineStr"/>
      <c r="WOO79" s="278" t="inlineStr"/>
      <c r="WOP79" s="278" t="inlineStr"/>
      <c r="WOQ79" s="278" t="inlineStr"/>
      <c r="WOR79" s="278" t="inlineStr"/>
      <c r="WOS79" s="278" t="inlineStr"/>
      <c r="WOT79" s="278" t="inlineStr"/>
      <c r="WOU79" s="278" t="inlineStr"/>
      <c r="WOV79" s="278" t="inlineStr"/>
      <c r="WOW79" s="278" t="inlineStr"/>
      <c r="WOX79" s="278" t="inlineStr"/>
      <c r="WOY79" s="278" t="inlineStr"/>
      <c r="WOZ79" s="278" t="inlineStr"/>
      <c r="WPA79" s="278" t="inlineStr"/>
      <c r="WPB79" s="278" t="inlineStr"/>
      <c r="WPC79" s="278" t="inlineStr"/>
      <c r="WPD79" s="278" t="inlineStr"/>
      <c r="WPE79" s="278" t="inlineStr"/>
      <c r="WPF79" s="278" t="inlineStr"/>
      <c r="WPG79" s="278" t="inlineStr"/>
      <c r="WPH79" s="278" t="inlineStr"/>
      <c r="WPI79" s="278" t="inlineStr"/>
      <c r="WPJ79" s="278" t="inlineStr"/>
      <c r="WPK79" s="278" t="inlineStr"/>
      <c r="WPL79" s="278" t="inlineStr"/>
      <c r="WPM79" s="278" t="inlineStr"/>
      <c r="WPN79" s="278" t="inlineStr"/>
      <c r="WPO79" s="278" t="inlineStr"/>
      <c r="WPP79" s="278" t="inlineStr"/>
      <c r="WPQ79" s="278" t="inlineStr"/>
      <c r="WPR79" s="278" t="inlineStr"/>
      <c r="WPS79" s="278" t="inlineStr"/>
      <c r="WPT79" s="278" t="inlineStr"/>
      <c r="WPU79" s="278" t="inlineStr"/>
      <c r="WPV79" s="278" t="inlineStr"/>
      <c r="WPW79" s="278" t="inlineStr"/>
      <c r="WPX79" s="278" t="inlineStr"/>
      <c r="WPY79" s="278" t="inlineStr"/>
      <c r="WPZ79" s="278" t="inlineStr"/>
      <c r="WQA79" s="278" t="inlineStr"/>
      <c r="WQB79" s="278" t="inlineStr"/>
      <c r="WQC79" s="278" t="inlineStr"/>
      <c r="WQD79" s="278" t="inlineStr"/>
      <c r="WQE79" s="278" t="inlineStr"/>
      <c r="WQF79" s="278" t="inlineStr"/>
      <c r="WQG79" s="278" t="inlineStr"/>
      <c r="WQH79" s="278" t="inlineStr"/>
      <c r="WQI79" s="278" t="inlineStr"/>
      <c r="WQJ79" s="278" t="inlineStr"/>
      <c r="WQK79" s="278" t="inlineStr"/>
      <c r="WQL79" s="278" t="inlineStr"/>
      <c r="WQM79" s="278" t="inlineStr"/>
      <c r="WQN79" s="278" t="inlineStr"/>
      <c r="WQO79" s="278" t="inlineStr"/>
      <c r="WQP79" s="278" t="inlineStr"/>
      <c r="WQQ79" s="278" t="inlineStr"/>
      <c r="WQR79" s="278" t="inlineStr"/>
      <c r="WQS79" s="278" t="inlineStr"/>
      <c r="WQT79" s="278" t="inlineStr"/>
      <c r="WQU79" s="278" t="inlineStr"/>
      <c r="WQV79" s="278" t="inlineStr"/>
      <c r="WQW79" s="278" t="inlineStr"/>
      <c r="WQX79" s="278" t="inlineStr"/>
      <c r="WQY79" s="278" t="inlineStr"/>
      <c r="WQZ79" s="278" t="inlineStr"/>
      <c r="WRA79" s="278" t="inlineStr"/>
      <c r="WRB79" s="278" t="inlineStr"/>
      <c r="WRC79" s="278" t="inlineStr"/>
      <c r="WRD79" s="278" t="inlineStr"/>
      <c r="WRE79" s="278" t="inlineStr"/>
      <c r="WRF79" s="278" t="inlineStr"/>
      <c r="WRG79" s="278" t="inlineStr"/>
      <c r="WRH79" s="278" t="inlineStr"/>
      <c r="WRI79" s="278" t="inlineStr"/>
      <c r="WRJ79" s="278" t="inlineStr"/>
      <c r="WRK79" s="278" t="inlineStr"/>
      <c r="WRL79" s="278" t="inlineStr"/>
      <c r="WRM79" s="278" t="inlineStr"/>
      <c r="WRN79" s="278" t="inlineStr"/>
      <c r="WRO79" s="278" t="inlineStr"/>
      <c r="WRP79" s="278" t="inlineStr"/>
      <c r="WRQ79" s="278" t="inlineStr"/>
      <c r="WRR79" s="278" t="inlineStr"/>
      <c r="WRS79" s="278" t="inlineStr"/>
      <c r="WRT79" s="278" t="inlineStr"/>
      <c r="WRU79" s="278" t="inlineStr"/>
      <c r="WRV79" s="278" t="inlineStr"/>
      <c r="WRW79" s="278" t="inlineStr"/>
      <c r="WRX79" s="278" t="inlineStr"/>
      <c r="WRY79" s="278" t="inlineStr"/>
      <c r="WRZ79" s="278" t="inlineStr"/>
      <c r="WSA79" s="278" t="inlineStr"/>
      <c r="WSB79" s="278" t="inlineStr"/>
      <c r="WSC79" s="278" t="inlineStr"/>
      <c r="WSD79" s="278" t="inlineStr"/>
      <c r="WSE79" s="278" t="inlineStr"/>
      <c r="WSF79" s="278" t="inlineStr"/>
      <c r="WSG79" s="278" t="inlineStr"/>
      <c r="WSH79" s="278" t="inlineStr"/>
      <c r="WSI79" s="278" t="inlineStr"/>
      <c r="WSJ79" s="278" t="inlineStr"/>
      <c r="WSK79" s="278" t="inlineStr"/>
      <c r="WSL79" s="278" t="inlineStr"/>
      <c r="WSM79" s="278" t="inlineStr"/>
      <c r="WSN79" s="278" t="inlineStr"/>
      <c r="WSO79" s="278" t="inlineStr"/>
      <c r="WSP79" s="278" t="inlineStr"/>
      <c r="WSQ79" s="278" t="inlineStr"/>
      <c r="WSR79" s="278" t="inlineStr"/>
      <c r="WSS79" s="278" t="inlineStr"/>
      <c r="WST79" s="278" t="inlineStr"/>
      <c r="WSU79" s="278" t="inlineStr"/>
      <c r="WSV79" s="278" t="inlineStr"/>
      <c r="WSW79" s="278" t="inlineStr"/>
      <c r="WSX79" s="278" t="inlineStr"/>
      <c r="WSY79" s="278" t="inlineStr"/>
      <c r="WSZ79" s="278" t="inlineStr"/>
      <c r="WTA79" s="278" t="inlineStr"/>
      <c r="WTB79" s="278" t="inlineStr"/>
      <c r="WTC79" s="278" t="inlineStr"/>
      <c r="WTD79" s="278" t="inlineStr"/>
      <c r="WTE79" s="278" t="inlineStr"/>
      <c r="WTF79" s="278" t="inlineStr"/>
      <c r="WTG79" s="278" t="inlineStr"/>
      <c r="WTH79" s="278" t="inlineStr"/>
      <c r="WTI79" s="278" t="inlineStr"/>
      <c r="WTJ79" s="278" t="inlineStr"/>
      <c r="WTK79" s="278" t="inlineStr"/>
      <c r="WTL79" s="278" t="inlineStr"/>
      <c r="WTM79" s="278" t="inlineStr"/>
      <c r="WTN79" s="278" t="inlineStr"/>
      <c r="WTO79" s="278" t="inlineStr"/>
      <c r="WTP79" s="278" t="inlineStr"/>
      <c r="WTQ79" s="278" t="inlineStr"/>
      <c r="WTR79" s="278" t="inlineStr"/>
      <c r="WTS79" s="278" t="inlineStr"/>
      <c r="WTT79" s="278" t="inlineStr"/>
      <c r="WTU79" s="278" t="inlineStr"/>
      <c r="WTV79" s="278" t="inlineStr"/>
      <c r="WTW79" s="278" t="inlineStr"/>
      <c r="WTX79" s="278" t="inlineStr"/>
      <c r="WTY79" s="278" t="inlineStr"/>
      <c r="WTZ79" s="278" t="inlineStr"/>
      <c r="WUA79" s="278" t="inlineStr"/>
      <c r="WUB79" s="278" t="inlineStr"/>
      <c r="WUC79" s="278" t="inlineStr"/>
      <c r="WUD79" s="278" t="inlineStr"/>
      <c r="WUE79" s="278" t="inlineStr"/>
      <c r="WUF79" s="278" t="inlineStr"/>
      <c r="WUG79" s="278" t="inlineStr"/>
      <c r="WUH79" s="278" t="inlineStr"/>
      <c r="WUI79" s="278" t="inlineStr"/>
      <c r="WUJ79" s="278" t="inlineStr"/>
      <c r="WUK79" s="278" t="inlineStr"/>
      <c r="WUL79" s="278" t="inlineStr"/>
      <c r="WUM79" s="278" t="inlineStr"/>
      <c r="WUN79" s="278" t="inlineStr"/>
      <c r="WUO79" s="278" t="inlineStr"/>
      <c r="WUP79" s="278" t="inlineStr"/>
      <c r="WUQ79" s="278" t="inlineStr"/>
      <c r="WUR79" s="278" t="inlineStr"/>
      <c r="WUS79" s="278" t="inlineStr"/>
      <c r="WUT79" s="278" t="inlineStr"/>
      <c r="WUU79" s="278" t="inlineStr"/>
      <c r="WUV79" s="278" t="inlineStr"/>
      <c r="WUW79" s="278" t="inlineStr"/>
      <c r="WUX79" s="278" t="inlineStr"/>
      <c r="WUY79" s="278" t="inlineStr"/>
      <c r="WUZ79" s="278" t="inlineStr"/>
      <c r="WVA79" s="278" t="inlineStr"/>
      <c r="WVB79" s="278" t="inlineStr"/>
      <c r="WVC79" s="278" t="inlineStr"/>
      <c r="WVD79" s="278" t="inlineStr"/>
      <c r="WVE79" s="278" t="inlineStr"/>
      <c r="WVF79" s="278" t="inlineStr"/>
      <c r="WVG79" s="278" t="inlineStr"/>
      <c r="WVH79" s="278" t="inlineStr"/>
      <c r="WVI79" s="278" t="inlineStr"/>
      <c r="WVJ79" s="278" t="inlineStr"/>
      <c r="WVK79" s="278" t="inlineStr"/>
      <c r="WVL79" s="278" t="inlineStr"/>
      <c r="WVM79" s="278" t="inlineStr"/>
      <c r="WVN79" s="278" t="inlineStr"/>
      <c r="WVO79" s="278" t="inlineStr"/>
      <c r="WVP79" s="278" t="inlineStr"/>
      <c r="WVQ79" s="278" t="inlineStr"/>
      <c r="WVR79" s="278" t="inlineStr"/>
      <c r="WVS79" s="278" t="inlineStr"/>
      <c r="WVT79" s="278" t="inlineStr"/>
      <c r="WVU79" s="278" t="inlineStr"/>
      <c r="WVV79" s="278" t="inlineStr"/>
      <c r="WVW79" s="278" t="inlineStr"/>
      <c r="WVX79" s="278" t="inlineStr"/>
      <c r="WVY79" s="278" t="inlineStr"/>
      <c r="WVZ79" s="278" t="inlineStr"/>
      <c r="WWA79" s="278" t="inlineStr"/>
      <c r="WWB79" s="278" t="inlineStr"/>
      <c r="WWC79" s="278" t="inlineStr"/>
      <c r="WWD79" s="278" t="inlineStr"/>
      <c r="WWE79" s="278" t="inlineStr"/>
      <c r="WWF79" s="278" t="inlineStr"/>
      <c r="WWG79" s="278" t="inlineStr"/>
      <c r="WWH79" s="278" t="inlineStr"/>
      <c r="WWI79" s="278" t="inlineStr"/>
      <c r="WWJ79" s="278" t="inlineStr"/>
      <c r="WWK79" s="278" t="inlineStr"/>
      <c r="WWL79" s="278" t="inlineStr"/>
      <c r="WWM79" s="278" t="inlineStr"/>
      <c r="WWN79" s="278" t="inlineStr"/>
      <c r="WWO79" s="278" t="inlineStr"/>
      <c r="WWP79" s="278" t="inlineStr"/>
      <c r="WWQ79" s="278" t="inlineStr"/>
      <c r="WWR79" s="278" t="inlineStr"/>
      <c r="WWS79" s="278" t="inlineStr"/>
      <c r="WWT79" s="278" t="inlineStr"/>
      <c r="WWU79" s="278" t="inlineStr"/>
      <c r="WWV79" s="278" t="inlineStr"/>
      <c r="WWW79" s="278" t="inlineStr"/>
      <c r="WWX79" s="278" t="inlineStr"/>
      <c r="WWY79" s="278" t="inlineStr"/>
      <c r="WWZ79" s="278" t="inlineStr"/>
      <c r="WXA79" s="278" t="inlineStr"/>
      <c r="WXB79" s="278" t="inlineStr"/>
      <c r="WXC79" s="278" t="inlineStr"/>
      <c r="WXD79" s="278" t="inlineStr"/>
      <c r="WXE79" s="278" t="inlineStr"/>
      <c r="WXF79" s="278" t="inlineStr"/>
      <c r="WXG79" s="278" t="inlineStr"/>
      <c r="WXH79" s="278" t="inlineStr"/>
      <c r="WXI79" s="278" t="inlineStr"/>
      <c r="WXJ79" s="278" t="inlineStr"/>
      <c r="WXK79" s="278" t="inlineStr"/>
      <c r="WXL79" s="278" t="inlineStr"/>
      <c r="WXM79" s="278" t="inlineStr"/>
      <c r="WXN79" s="278" t="inlineStr"/>
      <c r="WXO79" s="278" t="inlineStr"/>
      <c r="WXP79" s="278" t="inlineStr"/>
      <c r="WXQ79" s="278" t="inlineStr"/>
      <c r="WXR79" s="278" t="inlineStr"/>
      <c r="WXS79" s="278" t="inlineStr"/>
      <c r="WXT79" s="278" t="inlineStr"/>
      <c r="WXU79" s="278" t="inlineStr"/>
      <c r="WXV79" s="278" t="inlineStr"/>
      <c r="WXW79" s="278" t="inlineStr"/>
      <c r="WXX79" s="278" t="inlineStr"/>
      <c r="WXY79" s="278" t="inlineStr"/>
      <c r="WXZ79" s="278" t="inlineStr"/>
      <c r="WYA79" s="278" t="inlineStr"/>
      <c r="WYB79" s="278" t="inlineStr"/>
      <c r="WYC79" s="278" t="inlineStr"/>
      <c r="WYD79" s="278" t="inlineStr"/>
      <c r="WYE79" s="278" t="inlineStr"/>
      <c r="WYF79" s="278" t="inlineStr"/>
      <c r="WYG79" s="278" t="inlineStr"/>
      <c r="WYH79" s="278" t="inlineStr"/>
      <c r="WYI79" s="278" t="inlineStr"/>
      <c r="WYJ79" s="278" t="inlineStr"/>
      <c r="WYK79" s="278" t="inlineStr"/>
      <c r="WYL79" s="278" t="inlineStr"/>
      <c r="WYM79" s="278" t="inlineStr"/>
      <c r="WYN79" s="278" t="inlineStr"/>
      <c r="WYO79" s="278" t="inlineStr"/>
      <c r="WYP79" s="278" t="inlineStr"/>
      <c r="WYQ79" s="278" t="inlineStr"/>
      <c r="WYR79" s="278" t="inlineStr"/>
      <c r="WYS79" s="278" t="inlineStr"/>
      <c r="WYT79" s="278" t="inlineStr"/>
      <c r="WYU79" s="278" t="inlineStr"/>
      <c r="WYV79" s="278" t="inlineStr"/>
      <c r="WYW79" s="278" t="inlineStr"/>
      <c r="WYX79" s="278" t="inlineStr"/>
      <c r="WYY79" s="278" t="inlineStr"/>
      <c r="WYZ79" s="278" t="inlineStr"/>
      <c r="WZA79" s="278" t="inlineStr"/>
      <c r="WZB79" s="278" t="inlineStr"/>
      <c r="WZC79" s="278" t="inlineStr"/>
      <c r="WZD79" s="278" t="inlineStr"/>
      <c r="WZE79" s="278" t="inlineStr"/>
      <c r="WZF79" s="278" t="inlineStr"/>
      <c r="WZG79" s="278" t="inlineStr"/>
      <c r="WZH79" s="278" t="inlineStr"/>
      <c r="WZI79" s="278" t="inlineStr"/>
      <c r="WZJ79" s="278" t="inlineStr"/>
      <c r="WZK79" s="278" t="inlineStr"/>
      <c r="WZL79" s="278" t="inlineStr"/>
      <c r="WZM79" s="278" t="inlineStr"/>
      <c r="WZN79" s="278" t="inlineStr"/>
      <c r="WZO79" s="278" t="inlineStr"/>
      <c r="WZP79" s="278" t="inlineStr"/>
      <c r="WZQ79" s="278" t="inlineStr"/>
      <c r="WZR79" s="278" t="inlineStr"/>
      <c r="WZS79" s="278" t="inlineStr"/>
      <c r="WZT79" s="278" t="inlineStr"/>
      <c r="WZU79" s="278" t="inlineStr"/>
      <c r="WZV79" s="278" t="inlineStr"/>
      <c r="WZW79" s="278" t="inlineStr"/>
      <c r="WZX79" s="278" t="inlineStr"/>
      <c r="WZY79" s="278" t="inlineStr"/>
      <c r="WZZ79" s="278" t="inlineStr"/>
      <c r="XAA79" s="278" t="inlineStr"/>
      <c r="XAB79" s="278" t="inlineStr"/>
      <c r="XAC79" s="278" t="inlineStr"/>
      <c r="XAD79" s="278" t="inlineStr"/>
      <c r="XAE79" s="278" t="inlineStr"/>
      <c r="XAF79" s="278" t="inlineStr"/>
      <c r="XAG79" s="278" t="inlineStr"/>
      <c r="XAH79" s="278" t="inlineStr"/>
      <c r="XAI79" s="278" t="inlineStr"/>
      <c r="XAJ79" s="278" t="inlineStr"/>
      <c r="XAK79" s="278" t="inlineStr"/>
      <c r="XAL79" s="278" t="inlineStr"/>
      <c r="XAM79" s="278" t="inlineStr"/>
      <c r="XAN79" s="278" t="inlineStr"/>
      <c r="XAO79" s="278" t="inlineStr"/>
      <c r="XAP79" s="278" t="inlineStr"/>
      <c r="XAQ79" s="278" t="inlineStr"/>
      <c r="XAR79" s="278" t="inlineStr"/>
      <c r="XAS79" s="278" t="inlineStr"/>
      <c r="XAT79" s="278" t="inlineStr"/>
      <c r="XAU79" s="278" t="inlineStr"/>
      <c r="XAV79" s="278" t="inlineStr"/>
      <c r="XAW79" s="278" t="inlineStr"/>
      <c r="XAX79" s="278" t="inlineStr"/>
      <c r="XAY79" s="278" t="inlineStr"/>
      <c r="XAZ79" s="278" t="inlineStr"/>
      <c r="XBA79" s="278" t="inlineStr"/>
      <c r="XBB79" s="278" t="inlineStr"/>
      <c r="XBC79" s="278" t="inlineStr"/>
      <c r="XBD79" s="278" t="inlineStr"/>
      <c r="XBE79" s="278" t="inlineStr"/>
      <c r="XBF79" s="278" t="inlineStr"/>
      <c r="XBG79" s="278" t="inlineStr"/>
      <c r="XBH79" s="278" t="inlineStr"/>
      <c r="XBI79" s="278" t="inlineStr"/>
      <c r="XBJ79" s="278" t="inlineStr"/>
      <c r="XBK79" s="278" t="inlineStr"/>
      <c r="XBL79" s="278" t="inlineStr"/>
      <c r="XBM79" s="278" t="inlineStr"/>
      <c r="XBN79" s="278" t="inlineStr"/>
      <c r="XBO79" s="278" t="inlineStr"/>
      <c r="XBP79" s="278" t="inlineStr"/>
      <c r="XBQ79" s="278" t="inlineStr"/>
      <c r="XBR79" s="278" t="inlineStr"/>
      <c r="XBS79" s="278" t="inlineStr"/>
      <c r="XBT79" s="278" t="inlineStr"/>
      <c r="XBU79" s="278" t="inlineStr"/>
      <c r="XBV79" s="278" t="inlineStr"/>
      <c r="XBW79" s="278" t="inlineStr"/>
      <c r="XBX79" s="278" t="inlineStr"/>
      <c r="XBY79" s="278" t="inlineStr"/>
      <c r="XBZ79" s="278" t="inlineStr"/>
      <c r="XCA79" s="278" t="inlineStr"/>
      <c r="XCB79" s="278" t="inlineStr"/>
      <c r="XCC79" s="278" t="inlineStr"/>
      <c r="XCD79" s="278" t="inlineStr"/>
      <c r="XCE79" s="278" t="inlineStr"/>
      <c r="XCF79" s="278" t="inlineStr"/>
      <c r="XCG79" s="278" t="inlineStr"/>
      <c r="XCH79" s="278" t="inlineStr"/>
      <c r="XCI79" s="278" t="inlineStr"/>
      <c r="XCJ79" s="278" t="inlineStr"/>
      <c r="XCK79" s="278" t="inlineStr"/>
      <c r="XCL79" s="278" t="inlineStr"/>
      <c r="XCM79" s="278" t="inlineStr"/>
      <c r="XCN79" s="278" t="inlineStr"/>
      <c r="XCO79" s="278" t="inlineStr"/>
      <c r="XCP79" s="278" t="inlineStr"/>
      <c r="XCQ79" s="278" t="inlineStr"/>
      <c r="XCR79" s="278" t="inlineStr"/>
      <c r="XCS79" s="278" t="inlineStr"/>
      <c r="XCT79" s="278" t="inlineStr"/>
      <c r="XCU79" s="278" t="inlineStr"/>
      <c r="XCV79" s="278" t="inlineStr"/>
      <c r="XCW79" s="278" t="inlineStr"/>
      <c r="XCX79" s="278" t="inlineStr"/>
      <c r="XCY79" s="278" t="inlineStr"/>
      <c r="XCZ79" s="278" t="inlineStr"/>
      <c r="XDA79" s="278" t="inlineStr"/>
      <c r="XDB79" s="278" t="inlineStr"/>
      <c r="XDC79" s="278" t="inlineStr"/>
      <c r="XDD79" s="278" t="inlineStr"/>
      <c r="XDE79" s="278" t="inlineStr"/>
      <c r="XDF79" s="278" t="inlineStr"/>
      <c r="XDG79" s="278" t="inlineStr"/>
      <c r="XDH79" s="278" t="inlineStr"/>
      <c r="XDI79" s="278" t="inlineStr"/>
      <c r="XDJ79" s="278" t="inlineStr"/>
      <c r="XDK79" s="278" t="inlineStr"/>
      <c r="XDL79" s="278" t="inlineStr"/>
      <c r="XDM79" s="278" t="inlineStr"/>
      <c r="XDN79" s="278" t="inlineStr"/>
      <c r="XDO79" s="278" t="inlineStr"/>
      <c r="XDP79" s="278" t="inlineStr"/>
      <c r="XDQ79" s="278" t="inlineStr"/>
      <c r="XDR79" s="278" t="inlineStr"/>
      <c r="XDS79" s="278" t="inlineStr"/>
      <c r="XDT79" s="278" t="inlineStr"/>
      <c r="XDU79" s="278" t="inlineStr"/>
      <c r="XDV79" s="278" t="inlineStr"/>
      <c r="XDW79" s="278" t="inlineStr"/>
      <c r="XDX79" s="278" t="inlineStr"/>
      <c r="XDY79" s="278" t="inlineStr"/>
      <c r="XDZ79" s="278" t="inlineStr"/>
      <c r="XEA79" s="278" t="inlineStr"/>
      <c r="XEB79" s="278" t="inlineStr"/>
      <c r="XEC79" s="278" t="inlineStr"/>
      <c r="XED79" s="278" t="inlineStr"/>
      <c r="XEE79" s="278" t="inlineStr"/>
      <c r="XEF79" s="278" t="inlineStr"/>
      <c r="XEG79" s="278" t="inlineStr"/>
      <c r="XEH79" s="278" t="inlineStr"/>
      <c r="XEI79" s="278" t="inlineStr"/>
      <c r="XEJ79" s="278" t="inlineStr"/>
      <c r="XEK79" s="278" t="inlineStr"/>
      <c r="XEL79" s="278" t="inlineStr"/>
      <c r="XEM79" s="278" t="inlineStr"/>
      <c r="XEN79" s="278" t="inlineStr"/>
      <c r="XEO79" s="278" t="inlineStr"/>
      <c r="XEP79" s="278" t="inlineStr"/>
      <c r="XEQ79" s="278" t="inlineStr"/>
      <c r="XER79" s="278" t="inlineStr"/>
      <c r="XES79" s="278" t="inlineStr"/>
      <c r="XET79" s="278" t="inlineStr"/>
      <c r="XEU79" s="278" t="inlineStr"/>
      <c r="XEV79" s="278" t="inlineStr"/>
      <c r="XEW79" s="278" t="inlineStr"/>
      <c r="XEX79" s="278" t="inlineStr"/>
      <c r="XEY79" s="278" t="inlineStr"/>
      <c r="XEZ79" s="278" t="inlineStr"/>
      <c r="XFA79" s="278" t="inlineStr"/>
      <c r="XFB79" s="278" t="inlineStr"/>
      <c r="XFC79" s="278" t="inlineStr"/>
      <c r="XFD79" s="278" t="inlineStr"/>
    </row>
    <row r="80" ht="15.75" customFormat="1" customHeight="1" s="278">
      <c r="A80" s="394" t="inlineStr"/>
      <c r="B80" s="394" t="inlineStr">
        <is>
          <t>https://codeforces.com/group/Rilx5irOux/contest/537870/problem/J</t>
        </is>
      </c>
      <c r="C80" s="366" t="inlineStr">
        <is>
          <t>AC</t>
        </is>
      </c>
      <c r="D80" s="366" t="n">
        <v>1</v>
      </c>
      <c r="E80" s="366" t="n">
        <v>1</v>
      </c>
      <c r="F80" s="366" t="n">
        <v>2</v>
      </c>
      <c r="G80" s="366" t="n">
        <v>10</v>
      </c>
      <c r="H80" s="366" t="n">
        <v>0</v>
      </c>
      <c r="I80" s="366" t="n">
        <v>13</v>
      </c>
      <c r="J80" s="395" t="n">
        <v>4.2</v>
      </c>
      <c r="K80" s="366" t="inlineStr">
        <is>
          <t>yes</t>
        </is>
      </c>
      <c r="L80" s="395" t="inlineStr">
        <is>
          <t>MATH,ss</t>
        </is>
      </c>
      <c r="M80" s="362" t="inlineStr">
        <is>
          <t>test</t>
        </is>
      </c>
      <c r="N80" s="394" t="n"/>
      <c r="O80" s="394" t="n"/>
      <c r="P80" s="394" t="n"/>
      <c r="Q80" s="394" t="n"/>
      <c r="R80" s="394" t="n"/>
      <c r="S80" s="394" t="n"/>
      <c r="T80" s="394" t="n"/>
    </row>
    <row r="81" ht="15.75" customFormat="1" customHeight="1" s="278">
      <c r="A81" s="394" t="inlineStr">
        <is>
          <t>END</t>
        </is>
      </c>
      <c r="B81" s="394" t="n"/>
      <c r="C81" s="366" t="n"/>
      <c r="D81" s="366" t="n"/>
      <c r="E81" s="366" t="n"/>
      <c r="F81" s="366" t="n"/>
      <c r="G81" s="366" t="n"/>
      <c r="H81" s="366" t="n"/>
      <c r="I81" s="366" t="n"/>
      <c r="J81" s="395" t="n"/>
      <c r="K81" s="366" t="n"/>
      <c r="L81" s="395" t="n"/>
      <c r="M81" s="362" t="n"/>
      <c r="N81" s="394" t="n"/>
      <c r="O81" s="394" t="n"/>
      <c r="P81" s="394" t="n"/>
      <c r="Q81" s="394" t="n"/>
      <c r="R81" s="394" t="n"/>
      <c r="S81" s="394" t="n"/>
      <c r="T81" s="394" t="n"/>
    </row>
    <row r="82" ht="15.75" customFormat="1" customHeight="1" s="278">
      <c r="A82" s="394" t="n"/>
      <c r="B82" s="394" t="n"/>
      <c r="C82" s="366" t="n"/>
      <c r="D82" s="366" t="n"/>
      <c r="E82" s="366" t="n"/>
      <c r="F82" s="366" t="n"/>
      <c r="G82" s="366" t="n"/>
      <c r="H82" s="366" t="n"/>
      <c r="I82" s="366" t="n"/>
      <c r="J82" s="395" t="n"/>
      <c r="K82" s="366" t="n"/>
      <c r="L82" s="395" t="n"/>
      <c r="M82" s="362" t="n"/>
      <c r="N82" s="394" t="n"/>
      <c r="O82" s="394" t="n"/>
      <c r="P82" s="394" t="n"/>
      <c r="Q82" s="394" t="n"/>
      <c r="R82" s="394" t="n"/>
      <c r="S82" s="394" t="n"/>
      <c r="T82" s="394" t="n"/>
    </row>
    <row r="83" ht="15.75" customFormat="1" customHeight="1" s="278">
      <c r="A83" s="394" t="n"/>
      <c r="B83" s="394" t="n"/>
      <c r="C83" s="366" t="n"/>
      <c r="D83" s="366" t="n"/>
      <c r="E83" s="366" t="n"/>
      <c r="F83" s="366" t="n"/>
      <c r="G83" s="366" t="n"/>
      <c r="H83" s="366" t="n"/>
      <c r="I83" s="366" t="n"/>
      <c r="J83" s="395" t="n"/>
      <c r="K83" s="366" t="n"/>
      <c r="L83" s="395" t="n"/>
      <c r="M83" s="362" t="n"/>
      <c r="N83" s="394" t="n"/>
      <c r="O83" s="394" t="n"/>
      <c r="P83" s="394" t="n"/>
      <c r="Q83" s="394" t="n"/>
      <c r="R83" s="394" t="n"/>
      <c r="S83" s="394" t="n"/>
      <c r="T83" s="394" t="n"/>
    </row>
    <row r="84" ht="15.75" customFormat="1" customHeight="1" s="278">
      <c r="A84" s="394" t="n"/>
      <c r="B84" s="394" t="n"/>
      <c r="C84" s="366" t="n"/>
      <c r="D84" s="366" t="n"/>
      <c r="E84" s="366" t="n"/>
      <c r="F84" s="366" t="n"/>
      <c r="G84" s="366" t="n"/>
      <c r="H84" s="366" t="n"/>
      <c r="I84" s="366" t="n"/>
      <c r="J84" s="395" t="n"/>
      <c r="K84" s="366" t="n"/>
      <c r="L84" s="395" t="n"/>
      <c r="M84" s="362" t="n"/>
      <c r="N84" s="394" t="n"/>
      <c r="O84" s="394" t="n"/>
      <c r="P84" s="394" t="n"/>
      <c r="Q84" s="394" t="n"/>
      <c r="R84" s="394" t="n"/>
      <c r="S84" s="394" t="n"/>
      <c r="T84" s="394" t="n"/>
    </row>
    <row r="85" ht="15.75" customFormat="1" customHeight="1" s="278">
      <c r="A85" s="394" t="n"/>
      <c r="B85" s="394" t="n"/>
      <c r="C85" s="366" t="n"/>
      <c r="D85" s="366" t="n"/>
      <c r="E85" s="366" t="n"/>
      <c r="F85" s="366" t="n"/>
      <c r="G85" s="366" t="n"/>
      <c r="H85" s="366" t="n"/>
      <c r="I85" s="366" t="n"/>
      <c r="J85" s="395" t="n"/>
      <c r="K85" s="366" t="n"/>
      <c r="L85" s="395" t="n"/>
      <c r="M85" s="362" t="n"/>
      <c r="N85" s="394" t="n"/>
      <c r="O85" s="394" t="n"/>
      <c r="P85" s="394" t="n"/>
      <c r="Q85" s="394" t="n"/>
      <c r="R85" s="394" t="n"/>
      <c r="S85" s="394" t="n"/>
      <c r="T85" s="394" t="n"/>
    </row>
    <row r="86" ht="15.75" customFormat="1" customHeight="1" s="278">
      <c r="A86" s="394" t="n"/>
      <c r="B86" s="394" t="n"/>
      <c r="C86" s="366" t="n"/>
      <c r="D86" s="366" t="n"/>
      <c r="E86" s="366" t="n"/>
      <c r="F86" s="366" t="n"/>
      <c r="G86" s="366" t="n"/>
      <c r="H86" s="366" t="n"/>
      <c r="I86" s="366" t="n"/>
      <c r="J86" s="395" t="n"/>
      <c r="K86" s="366" t="n"/>
      <c r="L86" s="395" t="n"/>
      <c r="M86" s="362" t="n"/>
      <c r="N86" s="394" t="n"/>
      <c r="O86" s="394" t="n"/>
      <c r="P86" s="394" t="n"/>
      <c r="Q86" s="394" t="n"/>
      <c r="R86" s="394" t="n"/>
      <c r="S86" s="394" t="n"/>
      <c r="T86" s="394" t="n"/>
    </row>
    <row r="87" ht="15.75" customFormat="1" customHeight="1" s="278">
      <c r="A87" s="394" t="n"/>
      <c r="B87" s="394" t="n"/>
      <c r="C87" s="366" t="n"/>
      <c r="D87" s="366" t="n"/>
      <c r="E87" s="366" t="n"/>
      <c r="F87" s="366" t="n"/>
      <c r="G87" s="366" t="n"/>
      <c r="H87" s="366" t="n"/>
      <c r="I87" s="366" t="n"/>
      <c r="J87" s="395" t="n"/>
      <c r="K87" s="366" t="n"/>
      <c r="L87" s="395" t="n"/>
      <c r="M87" s="362" t="n"/>
      <c r="N87" s="394" t="n"/>
      <c r="O87" s="394" t="n"/>
      <c r="P87" s="394" t="n"/>
      <c r="Q87" s="394" t="n"/>
      <c r="R87" s="394" t="n"/>
      <c r="S87" s="394" t="n"/>
      <c r="T87" s="394" t="n"/>
    </row>
    <row r="88" ht="15.75" customFormat="1" customHeight="1" s="278">
      <c r="A88" s="394" t="n"/>
      <c r="B88" s="394" t="n"/>
      <c r="C88" s="366" t="n"/>
      <c r="D88" s="366" t="n"/>
      <c r="E88" s="366" t="n"/>
      <c r="F88" s="366" t="n"/>
      <c r="G88" s="366" t="n"/>
      <c r="H88" s="366" t="n"/>
      <c r="I88" s="366" t="n"/>
      <c r="J88" s="395" t="n"/>
      <c r="K88" s="366" t="n"/>
      <c r="L88" s="395" t="n"/>
      <c r="M88" s="362" t="n"/>
      <c r="N88" s="394" t="n"/>
      <c r="O88" s="394" t="n"/>
      <c r="P88" s="394" t="n"/>
      <c r="Q88" s="394" t="n"/>
      <c r="R88" s="394" t="n"/>
      <c r="S88" s="394" t="n"/>
      <c r="T88" s="394" t="n"/>
    </row>
    <row r="89" ht="15.75" customFormat="1" customHeight="1" s="278">
      <c r="A89" s="394" t="n"/>
      <c r="B89" s="394" t="n"/>
      <c r="C89" s="366" t="n"/>
      <c r="D89" s="366" t="n"/>
      <c r="E89" s="366" t="n"/>
      <c r="F89" s="366" t="n"/>
      <c r="G89" s="366" t="n"/>
      <c r="H89" s="366" t="n"/>
      <c r="I89" s="366" t="n"/>
      <c r="J89" s="395" t="n"/>
      <c r="K89" s="366" t="n"/>
      <c r="L89" s="395" t="n"/>
      <c r="M89" s="362" t="n"/>
      <c r="N89" s="394" t="n"/>
      <c r="O89" s="394" t="n"/>
      <c r="P89" s="394" t="n"/>
      <c r="Q89" s="394" t="n"/>
      <c r="R89" s="394" t="n"/>
      <c r="S89" s="394" t="n"/>
      <c r="T89" s="394" t="n"/>
    </row>
    <row r="90" ht="15.75" customFormat="1" customHeight="1" s="278">
      <c r="A90" s="394" t="n"/>
      <c r="B90" s="394" t="n"/>
      <c r="C90" s="366" t="n"/>
      <c r="D90" s="366" t="n"/>
      <c r="E90" s="366" t="n"/>
      <c r="F90" s="366" t="n"/>
      <c r="G90" s="366" t="n"/>
      <c r="H90" s="366" t="n"/>
      <c r="I90" s="366" t="n"/>
      <c r="J90" s="395" t="n"/>
      <c r="K90" s="366" t="n"/>
      <c r="L90" s="395" t="n"/>
      <c r="M90" s="362" t="n"/>
      <c r="N90" s="394" t="n"/>
      <c r="O90" s="394" t="n"/>
      <c r="P90" s="394" t="n"/>
      <c r="Q90" s="394" t="n"/>
      <c r="R90" s="394" t="n"/>
      <c r="S90" s="394" t="n"/>
      <c r="T90" s="394" t="n"/>
    </row>
    <row r="91" ht="15.75" customFormat="1" customHeight="1" s="278">
      <c r="A91" s="394" t="n"/>
      <c r="B91" s="394" t="n"/>
      <c r="C91" s="366" t="n"/>
      <c r="D91" s="366" t="n"/>
      <c r="E91" s="366" t="n"/>
      <c r="F91" s="366" t="n"/>
      <c r="G91" s="366" t="n"/>
      <c r="H91" s="366" t="n"/>
      <c r="I91" s="366" t="n"/>
      <c r="J91" s="395" t="n"/>
      <c r="K91" s="366" t="n"/>
      <c r="L91" s="395" t="n"/>
      <c r="M91" s="362" t="n"/>
      <c r="N91" s="394" t="n"/>
      <c r="O91" s="394" t="n"/>
      <c r="P91" s="394" t="n"/>
      <c r="Q91" s="394" t="n"/>
      <c r="R91" s="394" t="n"/>
      <c r="S91" s="394" t="n"/>
      <c r="T91" s="394" t="n"/>
    </row>
    <row r="92" ht="15.75" customFormat="1" customHeight="1" s="278">
      <c r="A92" s="394" t="n"/>
      <c r="B92" s="394" t="n"/>
      <c r="C92" s="366" t="n"/>
      <c r="D92" s="366" t="n"/>
      <c r="E92" s="366" t="n"/>
      <c r="F92" s="366" t="n"/>
      <c r="G92" s="366" t="n"/>
      <c r="H92" s="366" t="n"/>
      <c r="I92" s="366" t="n"/>
      <c r="J92" s="395" t="n"/>
      <c r="K92" s="366" t="n"/>
      <c r="L92" s="395" t="n"/>
      <c r="M92" s="362" t="n"/>
      <c r="N92" s="394" t="n"/>
      <c r="O92" s="394" t="n"/>
      <c r="P92" s="394" t="n"/>
      <c r="Q92" s="394" t="n"/>
      <c r="R92" s="394" t="n"/>
      <c r="S92" s="394" t="n"/>
      <c r="T92" s="394" t="n"/>
    </row>
    <row r="93" ht="15.75" customFormat="1" customHeight="1" s="278">
      <c r="A93" s="394" t="n"/>
      <c r="B93" s="394" t="n"/>
      <c r="C93" s="366" t="n"/>
      <c r="D93" s="366" t="n"/>
      <c r="E93" s="366" t="n"/>
      <c r="F93" s="366" t="n"/>
      <c r="G93" s="366" t="n"/>
      <c r="H93" s="366" t="n"/>
      <c r="I93" s="366" t="n"/>
      <c r="J93" s="395" t="n"/>
      <c r="K93" s="366" t="n"/>
      <c r="L93" s="395" t="n"/>
      <c r="M93" s="362" t="n"/>
      <c r="N93" s="394" t="n"/>
      <c r="O93" s="394" t="n"/>
      <c r="P93" s="394" t="n"/>
      <c r="Q93" s="394" t="n"/>
      <c r="R93" s="394" t="n"/>
      <c r="S93" s="394" t="n"/>
      <c r="T93" s="394" t="n"/>
    </row>
    <row r="94" ht="15.75" customHeight="1" s="279">
      <c r="A94" s="368" t="n"/>
      <c r="B94" s="394" t="n"/>
      <c r="C94" s="366" t="n"/>
      <c r="D94" s="366" t="n"/>
      <c r="E94" s="366" t="n"/>
      <c r="F94" s="366" t="n"/>
      <c r="G94" s="366" t="n"/>
      <c r="H94" s="366" t="n"/>
      <c r="I94" s="366" t="n"/>
      <c r="J94" s="364" t="n"/>
      <c r="K94" s="366" t="n"/>
      <c r="L94" s="366" t="n"/>
      <c r="M94" s="367" t="n"/>
      <c r="N94" s="367" t="n"/>
      <c r="O94" s="367" t="n"/>
      <c r="P94" s="367" t="n"/>
      <c r="Q94" s="367" t="n"/>
      <c r="R94" s="367" t="n"/>
      <c r="S94" s="367" t="n"/>
      <c r="T94" s="367" t="n"/>
    </row>
    <row r="95" ht="15.75" customHeight="1" s="279">
      <c r="A95" s="368" t="n"/>
      <c r="B95" s="394" t="n"/>
      <c r="C95" s="366" t="n"/>
      <c r="D95" s="366" t="n"/>
      <c r="E95" s="366" t="n"/>
      <c r="F95" s="366" t="n"/>
      <c r="G95" s="366" t="n"/>
      <c r="H95" s="366" t="n"/>
      <c r="I95" s="366" t="n"/>
      <c r="J95" s="364" t="n"/>
      <c r="K95" s="366" t="n"/>
      <c r="L95" s="366" t="n"/>
      <c r="M95" s="394" t="n"/>
      <c r="N95" s="394" t="n"/>
      <c r="O95" s="394" t="n"/>
      <c r="P95" s="394" t="n"/>
      <c r="Q95" s="394" t="n"/>
      <c r="R95" s="394" t="n"/>
      <c r="S95" s="394" t="n"/>
      <c r="T95" s="394" t="n"/>
    </row>
    <row r="96" ht="15.75" customHeight="1" s="279">
      <c r="A96" s="368" t="n"/>
      <c r="B96" s="394" t="n"/>
      <c r="C96" s="366" t="n"/>
      <c r="D96" s="366" t="n"/>
      <c r="E96" s="366" t="n"/>
      <c r="F96" s="366" t="n"/>
      <c r="G96" s="366" t="n"/>
      <c r="H96" s="366" t="n"/>
      <c r="I96" s="366" t="n"/>
      <c r="J96" s="364" t="n"/>
      <c r="K96" s="366" t="n"/>
      <c r="L96" s="366" t="n"/>
      <c r="M96" s="394" t="n"/>
      <c r="N96" s="394" t="n"/>
      <c r="O96" s="394" t="n"/>
      <c r="P96" s="394" t="n"/>
      <c r="Q96" s="394" t="n"/>
      <c r="R96" s="394" t="n"/>
      <c r="S96" s="394" t="n"/>
      <c r="T96" s="394" t="n"/>
    </row>
    <row r="97" ht="15.75" customHeight="1" s="279">
      <c r="A97" s="394" t="n"/>
      <c r="B97" s="394" t="n"/>
      <c r="C97" s="366" t="n"/>
      <c r="D97" s="366" t="n"/>
      <c r="E97" s="366" t="n"/>
      <c r="F97" s="366" t="n"/>
      <c r="G97" s="366" t="n"/>
      <c r="H97" s="366" t="n"/>
      <c r="I97" s="366" t="n"/>
      <c r="J97" s="395" t="n"/>
      <c r="K97" s="366" t="n"/>
      <c r="L97" s="395" t="n"/>
      <c r="M97" s="390" t="n"/>
      <c r="N97" s="390" t="n"/>
      <c r="O97" s="390" t="n"/>
      <c r="P97" s="390" t="n"/>
      <c r="Q97" s="390" t="n"/>
      <c r="R97" s="390" t="n"/>
      <c r="S97" s="390" t="n"/>
      <c r="T97" s="390" t="n"/>
    </row>
    <row r="98" ht="15.75" customHeight="1" s="279">
      <c r="A98" s="394" t="n"/>
      <c r="B98" s="394" t="n"/>
      <c r="C98" s="366" t="n"/>
      <c r="D98" s="366" t="n"/>
      <c r="E98" s="366" t="n"/>
      <c r="F98" s="366" t="n"/>
      <c r="G98" s="366" t="n"/>
      <c r="H98" s="366" t="n"/>
      <c r="I98" s="366" t="n"/>
      <c r="J98" s="395" t="n"/>
      <c r="K98" s="366" t="n"/>
      <c r="L98" s="395" t="n"/>
      <c r="M98" s="390" t="n"/>
      <c r="N98" s="390" t="n"/>
      <c r="O98" s="390" t="n"/>
      <c r="P98" s="390" t="n"/>
      <c r="Q98" s="390" t="n"/>
      <c r="R98" s="390" t="n"/>
      <c r="S98" s="390" t="n"/>
      <c r="T98" s="390" t="n"/>
    </row>
    <row r="99" ht="15.75" customHeight="1" s="279">
      <c r="A99" s="362" t="n"/>
      <c r="B99" s="367" t="n"/>
      <c r="C99" s="366" t="n"/>
      <c r="D99" s="366" t="n"/>
      <c r="E99" s="366" t="n"/>
      <c r="F99" s="366" t="n"/>
      <c r="G99" s="366" t="n"/>
      <c r="H99" s="366" t="n"/>
      <c r="I99" s="366" t="n"/>
      <c r="J99" s="364" t="n"/>
      <c r="K99" s="366" t="n"/>
      <c r="L99" s="366" t="n"/>
      <c r="M99" s="367" t="n"/>
      <c r="N99" s="367" t="n"/>
      <c r="O99" s="367" t="n"/>
      <c r="P99" s="367" t="n"/>
      <c r="Q99" s="367" t="n"/>
      <c r="R99" s="367" t="n"/>
      <c r="S99" s="367" t="n"/>
      <c r="T99" s="367" t="n"/>
    </row>
    <row r="100" ht="15.75" customHeight="1" s="279">
      <c r="A100" s="388" t="n"/>
      <c r="B100" s="388" t="n"/>
      <c r="C100" s="366" t="n"/>
      <c r="D100" s="366" t="n"/>
      <c r="E100" s="366" t="n"/>
      <c r="F100" s="366" t="n"/>
      <c r="G100" s="366" t="n"/>
      <c r="H100" s="366" t="n"/>
      <c r="I100" s="366" t="n"/>
      <c r="J100" s="395" t="n"/>
      <c r="K100" s="366" t="n"/>
      <c r="L100" s="395" t="n"/>
      <c r="M100" s="394" t="n"/>
      <c r="N100" s="394" t="n"/>
      <c r="O100" s="394" t="n"/>
      <c r="P100" s="394" t="n"/>
      <c r="Q100" s="394" t="n"/>
      <c r="R100" s="394" t="n"/>
      <c r="S100" s="394" t="n"/>
      <c r="T100" s="394" t="n"/>
    </row>
    <row r="101" ht="15.75" customHeight="1" s="279">
      <c r="A101" s="388" t="n"/>
      <c r="B101" s="388" t="n"/>
      <c r="C101" s="366" t="n"/>
      <c r="D101" s="366" t="n"/>
      <c r="E101" s="366" t="n"/>
      <c r="F101" s="366" t="n"/>
      <c r="G101" s="366" t="n"/>
      <c r="H101" s="366" t="n"/>
      <c r="I101" s="366" t="n"/>
      <c r="J101" s="364" t="n"/>
      <c r="K101" s="366" t="n"/>
      <c r="L101" s="366" t="n"/>
      <c r="M101" s="370" t="n"/>
      <c r="N101" s="371" t="n"/>
      <c r="O101" s="371" t="n"/>
      <c r="P101" s="371" t="n"/>
      <c r="Q101" s="371" t="n"/>
      <c r="R101" s="371" t="n"/>
      <c r="S101" s="371" t="n"/>
      <c r="T101" s="371" t="n"/>
    </row>
    <row r="102" ht="15.75" customHeight="1" s="279">
      <c r="A102" s="388" t="n"/>
      <c r="B102" s="388" t="n"/>
      <c r="C102" s="366" t="n"/>
      <c r="D102" s="366" t="n"/>
      <c r="E102" s="366" t="n"/>
      <c r="F102" s="366" t="n"/>
      <c r="G102" s="366" t="n"/>
      <c r="H102" s="366" t="n"/>
      <c r="I102" s="366" t="n"/>
      <c r="J102" s="364" t="n"/>
      <c r="K102" s="366" t="n"/>
      <c r="L102" s="366" t="n"/>
      <c r="M102" s="370" t="n"/>
      <c r="N102" s="371" t="n"/>
      <c r="O102" s="371" t="n"/>
      <c r="P102" s="371" t="n"/>
      <c r="Q102" s="371" t="n"/>
      <c r="R102" s="371" t="n"/>
      <c r="S102" s="371" t="n"/>
      <c r="T102" s="371" t="n"/>
    </row>
    <row r="103" ht="15.75" customHeight="1" s="279">
      <c r="A103" s="388" t="n"/>
      <c r="B103" s="388" t="n"/>
      <c r="C103" s="366" t="n"/>
      <c r="D103" s="366" t="n"/>
      <c r="E103" s="366" t="n"/>
      <c r="F103" s="366" t="n"/>
      <c r="G103" s="366" t="n"/>
      <c r="H103" s="366" t="n"/>
      <c r="I103" s="366" t="n"/>
      <c r="J103" s="366" t="n"/>
      <c r="K103" s="366" t="n"/>
      <c r="L103" s="366" t="n"/>
      <c r="M103" s="388" t="n"/>
      <c r="N103" s="388" t="n"/>
      <c r="O103" s="388" t="n"/>
      <c r="P103" s="388" t="n"/>
      <c r="Q103" s="388" t="n"/>
      <c r="R103" s="388" t="n"/>
      <c r="S103" s="388" t="n"/>
      <c r="T103" s="388" t="n"/>
    </row>
    <row r="104" ht="15.75" customHeight="1" s="279">
      <c r="A104" s="388" t="n"/>
      <c r="B104" s="388" t="n"/>
      <c r="C104" s="366" t="n"/>
      <c r="D104" s="365" t="n"/>
      <c r="E104" s="396" t="n"/>
      <c r="F104" s="396" t="n"/>
      <c r="G104" s="397" t="n"/>
      <c r="H104" s="366" t="n"/>
      <c r="I104" s="366" t="n"/>
      <c r="J104" s="365" t="n"/>
      <c r="K104" s="396" t="n"/>
      <c r="L104" s="396" t="n"/>
      <c r="M104" s="397" t="n"/>
      <c r="N104" s="370" t="n"/>
      <c r="O104" s="370" t="n"/>
      <c r="P104" s="370" t="n"/>
      <c r="Q104" s="370" t="n"/>
      <c r="R104" s="370" t="n"/>
      <c r="S104" s="370" t="n"/>
      <c r="T104" s="370" t="n"/>
    </row>
    <row r="105" ht="15.75" customHeight="1" s="279">
      <c r="A105" s="388" t="n"/>
      <c r="B105" s="388" t="n"/>
      <c r="C105" s="366" t="n"/>
      <c r="D105" s="366" t="n"/>
      <c r="E105" s="366" t="n"/>
      <c r="F105" s="366" t="n"/>
      <c r="G105" s="366" t="n"/>
      <c r="H105" s="366" t="n"/>
      <c r="I105" s="366" t="n"/>
      <c r="J105" s="366" t="n"/>
      <c r="K105" s="366" t="n"/>
      <c r="L105" s="366" t="n"/>
      <c r="M105" s="388" t="n"/>
      <c r="N105" s="388" t="n"/>
      <c r="O105" s="388" t="n"/>
      <c r="P105" s="388" t="n"/>
      <c r="Q105" s="388" t="n"/>
      <c r="R105" s="388" t="n"/>
      <c r="S105" s="388" t="n"/>
      <c r="T105" s="388" t="n"/>
    </row>
    <row r="106" ht="15.75" customHeight="1" s="279">
      <c r="A106" s="362" t="n"/>
      <c r="B106" s="367" t="n"/>
      <c r="C106" s="363" t="n"/>
      <c r="D106" s="364" t="n"/>
      <c r="E106" s="364" t="n"/>
      <c r="F106" s="364" t="n"/>
      <c r="G106" s="364" t="n"/>
      <c r="H106" s="364" t="n"/>
      <c r="I106" s="366" t="n"/>
      <c r="J106" s="364" t="n"/>
      <c r="K106" s="363" t="n"/>
      <c r="L106" s="366" t="n"/>
      <c r="M106" s="367" t="n"/>
      <c r="N106" s="367" t="n"/>
      <c r="O106" s="367" t="n"/>
      <c r="P106" s="367" t="n"/>
      <c r="Q106" s="367" t="n"/>
      <c r="R106" s="367" t="n"/>
      <c r="S106" s="367" t="n"/>
      <c r="T106" s="367" t="n"/>
    </row>
    <row r="107" ht="15.75" customHeight="1" s="279">
      <c r="A107" s="362" t="n"/>
      <c r="B107" s="367" t="n"/>
      <c r="C107" s="363" t="n"/>
      <c r="D107" s="364" t="n"/>
      <c r="E107" s="364" t="n"/>
      <c r="F107" s="364" t="n"/>
      <c r="G107" s="364" t="n"/>
      <c r="H107" s="364" t="n"/>
      <c r="I107" s="366" t="n"/>
      <c r="J107" s="364" t="n"/>
      <c r="K107" s="363" t="n"/>
      <c r="L107" s="366" t="n"/>
      <c r="M107" s="367" t="n"/>
      <c r="N107" s="367" t="n"/>
      <c r="O107" s="367" t="n"/>
      <c r="P107" s="367" t="n"/>
      <c r="Q107" s="367" t="n"/>
      <c r="R107" s="367" t="n"/>
      <c r="S107" s="367" t="n"/>
      <c r="T107" s="367" t="n"/>
    </row>
    <row r="108" ht="15.75" customHeight="1" s="279">
      <c r="A108" s="362" t="n"/>
      <c r="B108" s="367" t="n"/>
      <c r="C108" s="363" t="n"/>
      <c r="D108" s="364" t="n"/>
      <c r="E108" s="364" t="n"/>
      <c r="F108" s="364" t="n"/>
      <c r="G108" s="364" t="n"/>
      <c r="H108" s="364" t="n"/>
      <c r="I108" s="366" t="n"/>
      <c r="J108" s="364" t="n"/>
      <c r="K108" s="363" t="n"/>
      <c r="L108" s="366" t="n"/>
      <c r="M108" s="367" t="n"/>
      <c r="N108" s="367" t="n"/>
      <c r="O108" s="367" t="n"/>
      <c r="P108" s="367" t="n"/>
      <c r="Q108" s="367" t="n"/>
      <c r="R108" s="367" t="n"/>
      <c r="S108" s="367" t="n"/>
      <c r="T108" s="367" t="n"/>
    </row>
    <row r="109" ht="15.75" customHeight="1" s="279">
      <c r="A109" s="362" t="n"/>
      <c r="B109" s="367" t="n"/>
      <c r="C109" s="363" t="n"/>
      <c r="D109" s="364" t="n"/>
      <c r="E109" s="364" t="n"/>
      <c r="F109" s="364" t="n"/>
      <c r="G109" s="364" t="n"/>
      <c r="H109" s="364" t="n"/>
      <c r="I109" s="366" t="n"/>
      <c r="J109" s="364" t="n"/>
      <c r="K109" s="363" t="n"/>
      <c r="L109" s="366" t="n"/>
      <c r="M109" s="367" t="n"/>
      <c r="N109" s="367" t="n"/>
      <c r="O109" s="367" t="n"/>
      <c r="P109" s="367" t="n"/>
      <c r="Q109" s="367" t="n"/>
      <c r="R109" s="367" t="n"/>
      <c r="S109" s="367" t="n"/>
      <c r="T109" s="367" t="n"/>
    </row>
    <row r="110" ht="15.75" customHeight="1" s="279">
      <c r="A110" s="362" t="n"/>
      <c r="B110" s="367" t="n"/>
      <c r="C110" s="363" t="n"/>
      <c r="D110" s="364" t="n"/>
      <c r="E110" s="364" t="n"/>
      <c r="F110" s="364" t="n"/>
      <c r="G110" s="364" t="n"/>
      <c r="H110" s="364" t="n"/>
      <c r="I110" s="366" t="n"/>
      <c r="J110" s="364" t="n"/>
      <c r="K110" s="363" t="n"/>
      <c r="L110" s="366" t="n"/>
      <c r="M110" s="367" t="n"/>
      <c r="N110" s="367" t="n"/>
      <c r="O110" s="367" t="n"/>
      <c r="P110" s="367" t="n"/>
      <c r="Q110" s="367" t="n"/>
      <c r="R110" s="367" t="n"/>
      <c r="S110" s="367" t="n"/>
      <c r="T110" s="367" t="n"/>
    </row>
    <row r="111" ht="15.75" customHeight="1" s="279">
      <c r="A111" s="362" t="n"/>
      <c r="B111" s="367" t="n"/>
      <c r="C111" s="363" t="n"/>
      <c r="D111" s="364" t="n"/>
      <c r="E111" s="364" t="n"/>
      <c r="F111" s="364" t="n"/>
      <c r="G111" s="364" t="n"/>
      <c r="H111" s="364" t="n"/>
      <c r="I111" s="366" t="n"/>
      <c r="J111" s="364" t="n"/>
      <c r="K111" s="363" t="n"/>
      <c r="L111" s="366" t="n"/>
      <c r="M111" s="367" t="n"/>
      <c r="N111" s="367" t="n"/>
      <c r="O111" s="367" t="n"/>
      <c r="P111" s="367" t="n"/>
      <c r="Q111" s="367" t="n"/>
      <c r="R111" s="367" t="n"/>
      <c r="S111" s="367" t="n"/>
      <c r="T111" s="367" t="n"/>
    </row>
    <row r="112" ht="15.75" customHeight="1" s="279">
      <c r="A112" s="362" t="n"/>
      <c r="B112" s="367" t="n"/>
      <c r="C112" s="363" t="n"/>
      <c r="D112" s="364" t="n"/>
      <c r="E112" s="364" t="n"/>
      <c r="F112" s="364" t="n"/>
      <c r="G112" s="364" t="n"/>
      <c r="H112" s="364" t="n"/>
      <c r="I112" s="366" t="n"/>
      <c r="J112" s="364" t="n"/>
      <c r="K112" s="363" t="n"/>
      <c r="L112" s="366" t="n"/>
      <c r="M112" s="367" t="n"/>
      <c r="N112" s="367" t="n"/>
      <c r="O112" s="367" t="n"/>
      <c r="P112" s="367" t="n"/>
      <c r="Q112" s="367" t="n"/>
      <c r="R112" s="367" t="n"/>
      <c r="S112" s="367" t="n"/>
      <c r="T112" s="367" t="n"/>
    </row>
    <row r="113" ht="15.75" customHeight="1" s="279">
      <c r="A113" s="362" t="n"/>
      <c r="B113" s="367" t="n"/>
      <c r="C113" s="363" t="n"/>
      <c r="D113" s="364" t="n"/>
      <c r="E113" s="364" t="n"/>
      <c r="F113" s="364" t="n"/>
      <c r="G113" s="364" t="n"/>
      <c r="H113" s="364" t="n"/>
      <c r="I113" s="366" t="n"/>
      <c r="J113" s="364" t="n"/>
      <c r="K113" s="363" t="n"/>
      <c r="L113" s="366" t="n"/>
      <c r="M113" s="367" t="n"/>
      <c r="N113" s="367" t="n"/>
      <c r="O113" s="367" t="n"/>
      <c r="P113" s="367" t="n"/>
      <c r="Q113" s="367" t="n"/>
      <c r="R113" s="367" t="n"/>
      <c r="S113" s="367" t="n"/>
      <c r="T113" s="367" t="n"/>
    </row>
    <row r="114" ht="15.75" customHeight="1" s="279">
      <c r="A114" s="394" t="n"/>
      <c r="B114" s="394" t="n"/>
      <c r="C114" s="366" t="n"/>
      <c r="D114" s="366" t="n"/>
      <c r="E114" s="366" t="n"/>
      <c r="F114" s="366" t="n"/>
      <c r="G114" s="366" t="n"/>
      <c r="H114" s="366" t="n"/>
      <c r="I114" s="366" t="n"/>
      <c r="J114" s="364" t="n"/>
      <c r="K114" s="366" t="n"/>
      <c r="L114" s="366" t="n"/>
      <c r="M114" s="394" t="n"/>
      <c r="N114" s="394" t="n"/>
      <c r="O114" s="394" t="n"/>
      <c r="P114" s="394" t="n"/>
      <c r="Q114" s="394" t="n"/>
      <c r="R114" s="394" t="n"/>
      <c r="S114" s="394" t="n"/>
      <c r="T114" s="394" t="n"/>
    </row>
    <row r="115" ht="15.75" customHeight="1" s="279">
      <c r="A115" s="394" t="n"/>
      <c r="B115" s="394" t="n"/>
      <c r="C115" s="366" t="n"/>
      <c r="D115" s="366" t="n"/>
      <c r="E115" s="366" t="n"/>
      <c r="F115" s="366" t="n"/>
      <c r="G115" s="366" t="n"/>
      <c r="H115" s="366" t="n"/>
      <c r="I115" s="366" t="n"/>
      <c r="J115" s="364" t="n"/>
      <c r="K115" s="366" t="n"/>
      <c r="L115" s="366" t="n"/>
      <c r="M115" s="367" t="n"/>
      <c r="N115" s="367" t="n"/>
      <c r="O115" s="367" t="n"/>
      <c r="P115" s="367" t="n"/>
      <c r="Q115" s="367" t="n"/>
      <c r="R115" s="367" t="n"/>
      <c r="S115" s="367" t="n"/>
      <c r="T115" s="367" t="n"/>
    </row>
    <row r="116" ht="15.75" customHeight="1" s="279">
      <c r="A116" s="362" t="n"/>
      <c r="B116" s="367" t="n"/>
      <c r="C116" s="363" t="n"/>
      <c r="D116" s="364" t="n"/>
      <c r="E116" s="364" t="n"/>
      <c r="F116" s="364" t="n"/>
      <c r="G116" s="364" t="n"/>
      <c r="H116" s="364" t="n"/>
      <c r="I116" s="364" t="n"/>
      <c r="J116" s="364" t="n"/>
      <c r="K116" s="363" t="n"/>
      <c r="L116" s="366" t="n"/>
      <c r="M116" s="367" t="n"/>
      <c r="N116" s="367" t="n"/>
      <c r="O116" s="367" t="n"/>
      <c r="P116" s="367" t="n"/>
      <c r="Q116" s="367" t="n"/>
      <c r="R116" s="367" t="n"/>
      <c r="S116" s="367" t="n"/>
      <c r="T116" s="367" t="n"/>
    </row>
    <row r="117" ht="15.75" customHeight="1" s="279">
      <c r="A117" s="394" t="n"/>
      <c r="B117" s="394" t="n"/>
      <c r="C117" s="366" t="n"/>
      <c r="D117" s="366" t="n"/>
      <c r="E117" s="366" t="n"/>
      <c r="F117" s="366" t="n"/>
      <c r="G117" s="366" t="n"/>
      <c r="H117" s="366" t="n"/>
      <c r="I117" s="366" t="n"/>
      <c r="J117" s="364" t="n"/>
      <c r="K117" s="366" t="n"/>
      <c r="L117" s="366" t="n"/>
      <c r="M117" s="388" t="n"/>
      <c r="N117" s="388" t="n"/>
      <c r="O117" s="388" t="n"/>
      <c r="P117" s="388" t="n"/>
      <c r="Q117" s="388" t="n"/>
      <c r="R117" s="388" t="n"/>
      <c r="S117" s="388" t="n"/>
      <c r="T117" s="388" t="n"/>
    </row>
    <row r="118" ht="15.75" customHeight="1" s="279">
      <c r="A118" s="394" t="n"/>
      <c r="B118" s="394" t="n"/>
      <c r="C118" s="366" t="n"/>
      <c r="D118" s="366" t="n"/>
      <c r="E118" s="366" t="n"/>
      <c r="F118" s="366" t="n"/>
      <c r="G118" s="366" t="n"/>
      <c r="H118" s="366" t="n"/>
      <c r="I118" s="366" t="n"/>
      <c r="J118" s="364" t="n"/>
      <c r="K118" s="366" t="n"/>
      <c r="L118" s="366" t="n"/>
      <c r="M118" s="388" t="n"/>
      <c r="N118" s="388" t="n"/>
      <c r="O118" s="388" t="n"/>
      <c r="P118" s="388" t="n"/>
      <c r="Q118" s="388" t="n"/>
      <c r="R118" s="388" t="n"/>
      <c r="S118" s="388" t="n"/>
      <c r="T118" s="388" t="n"/>
    </row>
    <row r="119" ht="15.75" customHeight="1" s="279">
      <c r="A119" s="394" t="n"/>
      <c r="B119" s="394" t="n"/>
      <c r="C119" s="366" t="n"/>
      <c r="D119" s="366" t="n"/>
      <c r="E119" s="366" t="n"/>
      <c r="F119" s="366" t="n"/>
      <c r="G119" s="366" t="n"/>
      <c r="H119" s="366" t="n"/>
      <c r="I119" s="366" t="n"/>
      <c r="J119" s="364" t="n"/>
      <c r="K119" s="366" t="n"/>
      <c r="L119" s="366" t="n"/>
      <c r="M119" s="388" t="n"/>
      <c r="N119" s="388" t="n"/>
      <c r="O119" s="388" t="n"/>
      <c r="P119" s="388" t="n"/>
      <c r="Q119" s="388" t="n"/>
      <c r="R119" s="388" t="n"/>
      <c r="S119" s="388" t="n"/>
      <c r="T119" s="388" t="n"/>
    </row>
    <row r="120" ht="15.75" customHeight="1" s="279">
      <c r="A120" s="394" t="n"/>
      <c r="B120" s="394" t="n"/>
      <c r="C120" s="366" t="n"/>
      <c r="D120" s="366" t="n"/>
      <c r="E120" s="366" t="n"/>
      <c r="F120" s="366" t="n"/>
      <c r="G120" s="366" t="n"/>
      <c r="H120" s="366" t="n"/>
      <c r="I120" s="366" t="n"/>
      <c r="J120" s="364" t="n"/>
      <c r="K120" s="366" t="n"/>
      <c r="L120" s="366" t="n"/>
      <c r="M120" s="388" t="n"/>
      <c r="N120" s="388" t="n"/>
      <c r="O120" s="388" t="n"/>
      <c r="P120" s="388" t="n"/>
      <c r="Q120" s="388" t="n"/>
      <c r="R120" s="388" t="n"/>
      <c r="S120" s="388" t="n"/>
      <c r="T120" s="388" t="n"/>
    </row>
    <row r="121" ht="15.75" customHeight="1" s="279">
      <c r="A121" s="394" t="n"/>
      <c r="B121" s="394" t="n"/>
      <c r="C121" s="366" t="n"/>
      <c r="D121" s="366" t="n"/>
      <c r="E121" s="366" t="n"/>
      <c r="F121" s="366" t="n"/>
      <c r="G121" s="366" t="n"/>
      <c r="H121" s="366" t="n"/>
      <c r="I121" s="366" t="n"/>
      <c r="J121" s="364" t="n"/>
      <c r="K121" s="366" t="n"/>
      <c r="L121" s="366" t="n"/>
      <c r="M121" s="388" t="n"/>
      <c r="N121" s="388" t="n"/>
      <c r="O121" s="388" t="n"/>
      <c r="P121" s="388" t="n"/>
      <c r="Q121" s="388" t="n"/>
      <c r="R121" s="388" t="n"/>
      <c r="S121" s="388" t="n"/>
      <c r="T121" s="388" t="n"/>
    </row>
    <row r="122" ht="15.75" customHeight="1" s="279">
      <c r="A122" s="394" t="n"/>
      <c r="B122" s="394" t="n"/>
      <c r="C122" s="366" t="n"/>
      <c r="D122" s="366" t="n"/>
      <c r="E122" s="366" t="n"/>
      <c r="F122" s="366" t="n"/>
      <c r="G122" s="366" t="n"/>
      <c r="H122" s="366" t="n"/>
      <c r="I122" s="366" t="n"/>
      <c r="J122" s="364" t="n"/>
      <c r="K122" s="366" t="n"/>
      <c r="L122" s="366" t="n"/>
      <c r="M122" s="388" t="n"/>
      <c r="N122" s="388" t="n"/>
      <c r="O122" s="388" t="n"/>
      <c r="P122" s="388" t="n"/>
      <c r="Q122" s="388" t="n"/>
      <c r="R122" s="388" t="n"/>
      <c r="S122" s="388" t="n"/>
      <c r="T122" s="388" t="n"/>
    </row>
    <row r="123" ht="15.75" customHeight="1" s="279">
      <c r="A123" s="394" t="n"/>
      <c r="B123" s="394" t="n"/>
      <c r="C123" s="366" t="n"/>
      <c r="D123" s="366" t="n"/>
      <c r="E123" s="366" t="n"/>
      <c r="F123" s="366" t="n"/>
      <c r="G123" s="366" t="n"/>
      <c r="H123" s="366" t="n"/>
      <c r="I123" s="366" t="n"/>
      <c r="J123" s="364" t="n"/>
      <c r="K123" s="366" t="n"/>
      <c r="L123" s="366" t="n"/>
      <c r="M123" s="388" t="n"/>
      <c r="N123" s="388" t="n"/>
      <c r="O123" s="388" t="n"/>
      <c r="P123" s="388" t="n"/>
      <c r="Q123" s="388" t="n"/>
      <c r="R123" s="388" t="n"/>
      <c r="S123" s="388" t="n"/>
      <c r="T123" s="388" t="n"/>
    </row>
    <row r="124" ht="15.75" customHeight="1" s="279">
      <c r="A124" s="394" t="n"/>
      <c r="B124" s="394" t="n"/>
      <c r="C124" s="366" t="n"/>
      <c r="D124" s="366" t="n"/>
      <c r="E124" s="366" t="n"/>
      <c r="F124" s="366" t="n"/>
      <c r="G124" s="366" t="n"/>
      <c r="H124" s="366" t="n"/>
      <c r="I124" s="366" t="n"/>
      <c r="J124" s="364" t="n"/>
      <c r="K124" s="366" t="n"/>
      <c r="L124" s="366" t="n"/>
      <c r="M124" s="388" t="n"/>
      <c r="N124" s="388" t="n"/>
      <c r="O124" s="388" t="n"/>
      <c r="P124" s="388" t="n"/>
      <c r="Q124" s="388" t="n"/>
      <c r="R124" s="388" t="n"/>
      <c r="S124" s="388" t="n"/>
      <c r="T124" s="388" t="n"/>
    </row>
    <row r="125" ht="15.75" customHeight="1" s="279">
      <c r="A125" s="394" t="n"/>
      <c r="B125" s="394" t="n"/>
      <c r="C125" s="366" t="n"/>
      <c r="D125" s="366" t="n"/>
      <c r="E125" s="366" t="n"/>
      <c r="F125" s="366" t="n"/>
      <c r="G125" s="366" t="n"/>
      <c r="H125" s="366" t="n"/>
      <c r="I125" s="366" t="n"/>
      <c r="J125" s="364" t="n"/>
      <c r="K125" s="366" t="n"/>
      <c r="L125" s="366" t="n"/>
      <c r="M125" s="388" t="n"/>
      <c r="N125" s="388" t="n"/>
      <c r="O125" s="388" t="n"/>
      <c r="P125" s="388" t="n"/>
      <c r="Q125" s="388" t="n"/>
      <c r="R125" s="388" t="n"/>
      <c r="S125" s="388" t="n"/>
      <c r="T125" s="388" t="n"/>
    </row>
    <row r="126" ht="15.75" customHeight="1" s="279">
      <c r="A126" s="394" t="n"/>
      <c r="B126" s="394" t="n"/>
      <c r="C126" s="366" t="n"/>
      <c r="D126" s="366" t="n"/>
      <c r="E126" s="366" t="n"/>
      <c r="F126" s="366" t="n"/>
      <c r="G126" s="366" t="n"/>
      <c r="H126" s="366" t="n"/>
      <c r="I126" s="366" t="n"/>
      <c r="J126" s="364" t="n"/>
      <c r="K126" s="366" t="n"/>
      <c r="L126" s="366" t="n"/>
      <c r="M126" s="388" t="n"/>
      <c r="N126" s="388" t="n"/>
      <c r="O126" s="388" t="n"/>
      <c r="P126" s="388" t="n"/>
      <c r="Q126" s="388" t="n"/>
      <c r="R126" s="388" t="n"/>
      <c r="S126" s="388" t="n"/>
      <c r="T126" s="388" t="n"/>
    </row>
    <row r="127" ht="15.75" customHeight="1" s="279">
      <c r="A127" s="394" t="n"/>
      <c r="B127" s="394" t="n"/>
      <c r="C127" s="366" t="n"/>
      <c r="D127" s="366" t="n"/>
      <c r="E127" s="366" t="n"/>
      <c r="F127" s="366" t="n"/>
      <c r="G127" s="366" t="n"/>
      <c r="H127" s="366" t="n"/>
      <c r="I127" s="366" t="n"/>
      <c r="J127" s="364" t="n"/>
      <c r="K127" s="366" t="n"/>
      <c r="L127" s="366" t="n"/>
      <c r="M127" s="388" t="n"/>
      <c r="N127" s="388" t="n"/>
      <c r="O127" s="388" t="n"/>
      <c r="P127" s="388" t="n"/>
      <c r="Q127" s="388" t="n"/>
      <c r="R127" s="388" t="n"/>
      <c r="S127" s="388" t="n"/>
      <c r="T127" s="388" t="n"/>
    </row>
    <row r="128" ht="15.75" customHeight="1" s="279">
      <c r="A128" s="362" t="n"/>
      <c r="B128" s="367" t="n"/>
      <c r="C128" s="366" t="n"/>
      <c r="D128" s="366" t="n"/>
      <c r="E128" s="366" t="n"/>
      <c r="F128" s="366" t="n"/>
      <c r="G128" s="366" t="n"/>
      <c r="H128" s="366" t="n"/>
      <c r="I128" s="366" t="n"/>
      <c r="J128" s="364" t="n"/>
      <c r="K128" s="366" t="n"/>
      <c r="L128" s="366" t="n"/>
      <c r="M128" s="388" t="n"/>
      <c r="N128" s="388" t="n"/>
      <c r="O128" s="388" t="n"/>
      <c r="P128" s="388" t="n"/>
      <c r="Q128" s="388" t="n"/>
      <c r="R128" s="388" t="n"/>
      <c r="S128" s="388" t="n"/>
      <c r="T128" s="388" t="n"/>
    </row>
    <row r="129" ht="15.75" customHeight="1" s="279">
      <c r="A129" s="398" t="n"/>
      <c r="B129" s="398" t="n"/>
      <c r="C129" s="366" t="n"/>
      <c r="D129" s="366" t="n"/>
      <c r="E129" s="366" t="n"/>
      <c r="F129" s="366" t="n"/>
      <c r="G129" s="366" t="n"/>
      <c r="H129" s="366" t="n"/>
      <c r="I129" s="366" t="n"/>
      <c r="J129" s="364" t="n"/>
      <c r="K129" s="366" t="n"/>
      <c r="L129" s="366" t="n"/>
      <c r="M129" s="388" t="n"/>
      <c r="N129" s="388" t="n"/>
      <c r="O129" s="388" t="n"/>
      <c r="P129" s="388" t="n"/>
      <c r="Q129" s="388" t="n"/>
      <c r="R129" s="388" t="n"/>
      <c r="S129" s="388" t="n"/>
      <c r="T129" s="388" t="n"/>
    </row>
    <row r="130" ht="15.75" customHeight="1" s="279">
      <c r="A130" s="398" t="n"/>
      <c r="B130" s="398" t="n"/>
      <c r="C130" s="366" t="n"/>
      <c r="D130" s="366" t="n"/>
      <c r="E130" s="366" t="n"/>
      <c r="F130" s="366" t="n"/>
      <c r="G130" s="366" t="n"/>
      <c r="H130" s="366" t="n"/>
      <c r="I130" s="366" t="n"/>
      <c r="J130" s="364" t="n"/>
      <c r="K130" s="366" t="n"/>
      <c r="L130" s="366" t="n"/>
      <c r="M130" s="388" t="n"/>
      <c r="N130" s="388" t="n"/>
      <c r="O130" s="388" t="n"/>
      <c r="P130" s="388" t="n"/>
      <c r="Q130" s="388" t="n"/>
      <c r="R130" s="388" t="n"/>
      <c r="S130" s="388" t="n"/>
      <c r="T130" s="388" t="n"/>
    </row>
    <row r="131" ht="15.75" customHeight="1" s="279">
      <c r="A131" s="394" t="n"/>
      <c r="B131" s="394" t="n"/>
      <c r="C131" s="366" t="n"/>
      <c r="D131" s="366" t="n"/>
      <c r="E131" s="366" t="n"/>
      <c r="F131" s="366" t="n"/>
      <c r="G131" s="366" t="n"/>
      <c r="H131" s="366" t="n"/>
      <c r="I131" s="366" t="n"/>
      <c r="J131" s="364" t="n"/>
      <c r="K131" s="366" t="n"/>
      <c r="L131" s="366" t="n"/>
      <c r="M131" s="388" t="n"/>
      <c r="N131" s="388" t="n"/>
      <c r="O131" s="388" t="n"/>
      <c r="P131" s="388" t="n"/>
      <c r="Q131" s="388" t="n"/>
      <c r="R131" s="388" t="n"/>
      <c r="S131" s="388" t="n"/>
      <c r="T131" s="388" t="n"/>
    </row>
    <row r="132" ht="15.75" customHeight="1" s="279">
      <c r="A132" s="398" t="n"/>
      <c r="B132" s="398" t="n"/>
      <c r="C132" s="366" t="n"/>
      <c r="D132" s="366" t="n"/>
      <c r="E132" s="366" t="n"/>
      <c r="F132" s="366" t="n"/>
      <c r="G132" s="366" t="n"/>
      <c r="H132" s="366" t="n"/>
      <c r="I132" s="366" t="n"/>
      <c r="J132" s="364" t="n"/>
      <c r="K132" s="366" t="n"/>
      <c r="L132" s="366" t="n"/>
      <c r="M132" s="388" t="n"/>
      <c r="N132" s="388" t="n"/>
      <c r="O132" s="388" t="n"/>
      <c r="P132" s="388" t="n"/>
      <c r="Q132" s="388" t="n"/>
      <c r="R132" s="388" t="n"/>
      <c r="S132" s="388" t="n"/>
      <c r="T132" s="388" t="n"/>
    </row>
    <row r="133" ht="15.75" customHeight="1" s="279">
      <c r="A133" s="394" t="n"/>
      <c r="B133" s="394" t="n"/>
      <c r="C133" s="366" t="n"/>
      <c r="D133" s="366" t="n"/>
      <c r="E133" s="366" t="n"/>
      <c r="F133" s="366" t="n"/>
      <c r="G133" s="366" t="n"/>
      <c r="H133" s="366" t="n"/>
      <c r="I133" s="366" t="n"/>
      <c r="J133" s="364" t="n"/>
      <c r="K133" s="366" t="n"/>
      <c r="L133" s="366" t="n"/>
      <c r="M133" s="388" t="n"/>
      <c r="N133" s="388" t="n"/>
      <c r="O133" s="388" t="n"/>
      <c r="P133" s="388" t="n"/>
      <c r="Q133" s="388" t="n"/>
      <c r="R133" s="388" t="n"/>
      <c r="S133" s="388" t="n"/>
      <c r="T133" s="388" t="n"/>
    </row>
    <row r="134" ht="15.75" customHeight="1" s="279">
      <c r="A134" s="394" t="n"/>
      <c r="B134" s="394" t="n"/>
      <c r="C134" s="366" t="n"/>
      <c r="D134" s="366" t="n"/>
      <c r="E134" s="366" t="n"/>
      <c r="F134" s="366" t="n"/>
      <c r="G134" s="366" t="n"/>
      <c r="H134" s="366" t="n"/>
      <c r="I134" s="366" t="n"/>
      <c r="J134" s="364" t="n"/>
      <c r="K134" s="366" t="n"/>
      <c r="L134" s="366" t="n"/>
      <c r="M134" s="388" t="n"/>
      <c r="N134" s="388" t="n"/>
      <c r="O134" s="388" t="n"/>
      <c r="P134" s="388" t="n"/>
      <c r="Q134" s="388" t="n"/>
      <c r="R134" s="388" t="n"/>
      <c r="S134" s="388" t="n"/>
      <c r="T134" s="388" t="n"/>
    </row>
    <row r="135" ht="15.75" customHeight="1" s="279">
      <c r="A135" s="394" t="n"/>
      <c r="B135" s="394" t="n"/>
      <c r="C135" s="366" t="n"/>
      <c r="D135" s="366" t="n"/>
      <c r="E135" s="366" t="n"/>
      <c r="F135" s="366" t="n"/>
      <c r="G135" s="366" t="n"/>
      <c r="H135" s="366" t="n"/>
      <c r="I135" s="366" t="n"/>
      <c r="J135" s="364" t="n"/>
      <c r="K135" s="366" t="n"/>
      <c r="L135" s="366" t="n"/>
      <c r="M135" s="388" t="n"/>
      <c r="N135" s="388" t="n"/>
      <c r="O135" s="388" t="n"/>
      <c r="P135" s="388" t="n"/>
      <c r="Q135" s="388" t="n"/>
      <c r="R135" s="388" t="n"/>
      <c r="S135" s="388" t="n"/>
      <c r="T135" s="388" t="n"/>
    </row>
    <row r="136" ht="15.75" customHeight="1" s="279">
      <c r="A136" s="394" t="n"/>
      <c r="B136" s="394" t="n"/>
      <c r="C136" s="366" t="n"/>
      <c r="D136" s="366" t="n"/>
      <c r="E136" s="366" t="n"/>
      <c r="F136" s="366" t="n"/>
      <c r="G136" s="366" t="n"/>
      <c r="H136" s="366" t="n"/>
      <c r="I136" s="366" t="n"/>
      <c r="J136" s="364" t="n"/>
      <c r="K136" s="366" t="n"/>
      <c r="L136" s="366" t="n"/>
      <c r="M136" s="362" t="n"/>
      <c r="N136" s="362" t="n"/>
      <c r="O136" s="362" t="n"/>
      <c r="P136" s="362" t="n"/>
      <c r="Q136" s="362" t="n"/>
      <c r="R136" s="362" t="n"/>
      <c r="S136" s="362" t="n"/>
      <c r="T136" s="362" t="n"/>
    </row>
    <row r="137" ht="15.75" customHeight="1" s="279">
      <c r="A137" s="394" t="n"/>
      <c r="B137" s="394" t="n"/>
      <c r="C137" s="366" t="n"/>
      <c r="D137" s="366" t="n"/>
      <c r="E137" s="366" t="n"/>
      <c r="F137" s="366" t="n"/>
      <c r="G137" s="366" t="n"/>
      <c r="H137" s="366" t="n"/>
      <c r="I137" s="366" t="n"/>
      <c r="J137" s="364" t="n"/>
      <c r="K137" s="366" t="n"/>
      <c r="L137" s="366" t="n"/>
      <c r="M137" s="362" t="n"/>
      <c r="N137" s="362" t="n"/>
      <c r="O137" s="362" t="n"/>
      <c r="P137" s="362" t="n"/>
      <c r="Q137" s="362" t="n"/>
      <c r="R137" s="362" t="n"/>
      <c r="S137" s="362" t="n"/>
      <c r="T137" s="362" t="n"/>
    </row>
    <row r="138" ht="15.75" customHeight="1" s="279">
      <c r="A138" s="394" t="n"/>
      <c r="B138" s="394" t="n"/>
      <c r="C138" s="366" t="n"/>
      <c r="D138" s="366" t="n"/>
      <c r="E138" s="366" t="n"/>
      <c r="F138" s="366" t="n"/>
      <c r="G138" s="366" t="n"/>
      <c r="H138" s="366" t="n"/>
      <c r="I138" s="366" t="n"/>
      <c r="J138" s="364" t="n"/>
      <c r="K138" s="366" t="n"/>
      <c r="L138" s="366" t="n"/>
      <c r="M138" s="388" t="n"/>
      <c r="N138" s="388" t="n"/>
      <c r="O138" s="388" t="n"/>
      <c r="P138" s="388" t="n"/>
      <c r="Q138" s="388" t="n"/>
      <c r="R138" s="388" t="n"/>
      <c r="S138" s="388" t="n"/>
      <c r="T138" s="388" t="n"/>
    </row>
    <row r="139" ht="15.75" customHeight="1" s="279">
      <c r="A139" s="394" t="n"/>
      <c r="B139" s="394" t="n"/>
      <c r="C139" s="366" t="n"/>
      <c r="D139" s="366" t="n"/>
      <c r="E139" s="366" t="n"/>
      <c r="F139" s="366" t="n"/>
      <c r="G139" s="366" t="n"/>
      <c r="H139" s="366" t="n"/>
      <c r="I139" s="366" t="n"/>
      <c r="J139" s="364" t="n"/>
      <c r="K139" s="366" t="n"/>
      <c r="L139" s="366" t="n"/>
      <c r="M139" s="362" t="n"/>
      <c r="N139" s="362" t="n"/>
      <c r="O139" s="362" t="n"/>
      <c r="P139" s="362" t="n"/>
      <c r="Q139" s="362" t="n"/>
      <c r="R139" s="362" t="n"/>
      <c r="S139" s="362" t="n"/>
      <c r="T139" s="362" t="n"/>
    </row>
    <row r="140" ht="15.75" customHeight="1" s="279">
      <c r="A140" s="394" t="n"/>
      <c r="B140" s="394" t="n"/>
      <c r="C140" s="366" t="n"/>
      <c r="D140" s="366" t="n"/>
      <c r="E140" s="366" t="n"/>
      <c r="F140" s="366" t="n"/>
      <c r="G140" s="366" t="n"/>
      <c r="H140" s="366" t="n"/>
      <c r="I140" s="366" t="n"/>
      <c r="J140" s="364" t="n"/>
      <c r="K140" s="366" t="n"/>
      <c r="L140" s="366" t="n"/>
      <c r="M140" s="362" t="n"/>
      <c r="N140" s="362" t="n"/>
      <c r="O140" s="362" t="n"/>
      <c r="P140" s="362" t="n"/>
      <c r="Q140" s="362" t="n"/>
      <c r="R140" s="362" t="n"/>
      <c r="S140" s="362" t="n"/>
      <c r="T140" s="362" t="n"/>
    </row>
    <row r="141" ht="15.75" customHeight="1" s="279">
      <c r="A141" s="394" t="n"/>
      <c r="B141" s="394" t="n"/>
      <c r="C141" s="366" t="n"/>
      <c r="D141" s="366" t="n"/>
      <c r="E141" s="366" t="n"/>
      <c r="F141" s="366" t="n"/>
      <c r="G141" s="366" t="n"/>
      <c r="H141" s="366" t="n"/>
      <c r="I141" s="366" t="n"/>
      <c r="J141" s="364" t="n"/>
      <c r="K141" s="366" t="n"/>
      <c r="L141" s="366" t="n"/>
      <c r="M141" s="362" t="n"/>
      <c r="N141" s="362" t="n"/>
      <c r="O141" s="362" t="n"/>
      <c r="P141" s="362" t="n"/>
      <c r="Q141" s="362" t="n"/>
      <c r="R141" s="362" t="n"/>
      <c r="S141" s="362" t="n"/>
      <c r="T141" s="362" t="n"/>
    </row>
    <row r="142" ht="15.75" customHeight="1" s="279">
      <c r="A142" s="394" t="n"/>
      <c r="B142" s="394" t="n"/>
      <c r="C142" s="366" t="n"/>
      <c r="D142" s="366" t="n"/>
      <c r="E142" s="366" t="n"/>
      <c r="F142" s="366" t="n"/>
      <c r="G142" s="366" t="n"/>
      <c r="H142" s="366" t="n"/>
      <c r="I142" s="366" t="n"/>
      <c r="J142" s="364" t="n"/>
      <c r="K142" s="366" t="n"/>
      <c r="L142" s="366" t="n"/>
      <c r="M142" s="362" t="n"/>
      <c r="N142" s="362" t="n"/>
      <c r="O142" s="362" t="n"/>
      <c r="P142" s="362" t="n"/>
      <c r="Q142" s="362" t="n"/>
      <c r="R142" s="362" t="n"/>
      <c r="S142" s="362" t="n"/>
      <c r="T142" s="362" t="n"/>
    </row>
    <row r="143" ht="15.75" customHeight="1" s="279">
      <c r="A143" s="394" t="n"/>
      <c r="B143" s="394" t="n"/>
      <c r="C143" s="366" t="n"/>
      <c r="D143" s="366" t="n"/>
      <c r="E143" s="366" t="n"/>
      <c r="F143" s="366" t="n"/>
      <c r="G143" s="366" t="n"/>
      <c r="H143" s="366" t="n"/>
      <c r="I143" s="366" t="n"/>
      <c r="J143" s="364" t="n"/>
      <c r="K143" s="366" t="n"/>
      <c r="L143" s="366" t="n"/>
      <c r="M143" s="362" t="n"/>
      <c r="N143" s="362" t="n"/>
      <c r="O143" s="362" t="n"/>
      <c r="P143" s="362" t="n"/>
      <c r="Q143" s="362" t="n"/>
      <c r="R143" s="362" t="n"/>
      <c r="S143" s="362" t="n"/>
      <c r="T143" s="362" t="n"/>
    </row>
    <row r="144" ht="15.75" customHeight="1" s="279">
      <c r="A144" s="394" t="n"/>
      <c r="B144" s="394" t="n"/>
      <c r="C144" s="366" t="n"/>
      <c r="D144" s="366" t="n"/>
      <c r="E144" s="366" t="n"/>
      <c r="F144" s="366" t="n"/>
      <c r="G144" s="366" t="n"/>
      <c r="H144" s="366" t="n"/>
      <c r="I144" s="366" t="n"/>
      <c r="J144" s="364" t="n"/>
      <c r="K144" s="366" t="n"/>
      <c r="L144" s="366" t="n"/>
      <c r="M144" s="362" t="n"/>
      <c r="N144" s="362" t="n"/>
      <c r="O144" s="362" t="n"/>
      <c r="P144" s="362" t="n"/>
      <c r="Q144" s="362" t="n"/>
      <c r="R144" s="362" t="n"/>
      <c r="S144" s="362" t="n"/>
      <c r="T144" s="362" t="n"/>
    </row>
    <row r="145" ht="15.75" customHeight="1" s="279">
      <c r="A145" s="362" t="n"/>
      <c r="B145" s="367" t="n"/>
      <c r="C145" s="366" t="n"/>
      <c r="D145" s="366" t="n"/>
      <c r="E145" s="366" t="n"/>
      <c r="F145" s="366" t="n"/>
      <c r="G145" s="366" t="n"/>
      <c r="H145" s="366" t="n"/>
      <c r="I145" s="366" t="n"/>
      <c r="J145" s="364" t="n"/>
      <c r="K145" s="366" t="n"/>
      <c r="L145" s="366" t="n"/>
      <c r="M145" s="362" t="n"/>
      <c r="N145" s="362" t="n"/>
      <c r="O145" s="362" t="n"/>
      <c r="P145" s="362" t="n"/>
      <c r="Q145" s="362" t="n"/>
      <c r="R145" s="362" t="n"/>
      <c r="S145" s="362" t="n"/>
      <c r="T145" s="362" t="n"/>
    </row>
    <row r="146" ht="15.75" customHeight="1" s="279">
      <c r="A146" s="362" t="n"/>
      <c r="B146" s="367" t="n"/>
      <c r="C146" s="366" t="n"/>
      <c r="D146" s="366" t="n"/>
      <c r="E146" s="366" t="n"/>
      <c r="F146" s="366" t="n"/>
      <c r="G146" s="366" t="n"/>
      <c r="H146" s="366" t="n"/>
      <c r="I146" s="366" t="n"/>
      <c r="J146" s="364" t="n"/>
      <c r="K146" s="366" t="n"/>
      <c r="L146" s="366" t="n"/>
      <c r="M146" s="362" t="n"/>
      <c r="N146" s="362" t="n"/>
      <c r="O146" s="362" t="n"/>
      <c r="P146" s="362" t="n"/>
      <c r="Q146" s="362" t="n"/>
      <c r="R146" s="362" t="n"/>
      <c r="S146" s="362" t="n"/>
      <c r="T146" s="362" t="n"/>
    </row>
    <row r="147" ht="15.75" customHeight="1" s="279">
      <c r="A147" s="394" t="n"/>
      <c r="B147" s="394" t="n"/>
      <c r="C147" s="366" t="n"/>
      <c r="D147" s="366" t="n"/>
      <c r="E147" s="366" t="n"/>
      <c r="F147" s="366" t="n"/>
      <c r="G147" s="366" t="n"/>
      <c r="H147" s="366" t="n"/>
      <c r="I147" s="366" t="n"/>
      <c r="J147" s="364" t="n"/>
      <c r="K147" s="366" t="n"/>
      <c r="L147" s="366" t="n"/>
      <c r="M147" s="388" t="n"/>
      <c r="N147" s="388" t="n"/>
      <c r="O147" s="388" t="n"/>
      <c r="P147" s="388" t="n"/>
      <c r="Q147" s="388" t="n"/>
      <c r="R147" s="388" t="n"/>
      <c r="S147" s="388" t="n"/>
      <c r="T147" s="388" t="n"/>
    </row>
    <row r="148" ht="15.75" customHeight="1" s="279">
      <c r="A148" s="394" t="n"/>
      <c r="B148" s="394" t="n"/>
      <c r="C148" s="366" t="n"/>
      <c r="D148" s="366" t="n"/>
      <c r="E148" s="366" t="n"/>
      <c r="F148" s="366" t="n"/>
      <c r="G148" s="366" t="n"/>
      <c r="H148" s="366" t="n"/>
      <c r="I148" s="366" t="n"/>
      <c r="J148" s="364" t="n"/>
      <c r="K148" s="366" t="n"/>
      <c r="L148" s="366" t="n"/>
      <c r="M148" s="388" t="n"/>
      <c r="N148" s="388" t="n"/>
      <c r="O148" s="388" t="n"/>
      <c r="P148" s="388" t="n"/>
      <c r="Q148" s="388" t="n"/>
      <c r="R148" s="388" t="n"/>
      <c r="S148" s="388" t="n"/>
      <c r="T148" s="388" t="n"/>
    </row>
    <row r="149" ht="15.75" customHeight="1" s="279">
      <c r="A149" s="362" t="n"/>
      <c r="B149" s="367" t="n"/>
      <c r="C149" s="366" t="n"/>
      <c r="D149" s="366" t="n"/>
      <c r="E149" s="366" t="n"/>
      <c r="F149" s="366" t="n"/>
      <c r="G149" s="366" t="n"/>
      <c r="H149" s="366" t="n"/>
      <c r="I149" s="366" t="n"/>
      <c r="J149" s="364" t="n"/>
      <c r="K149" s="366" t="n"/>
      <c r="L149" s="366" t="n"/>
      <c r="M149" s="388" t="n"/>
      <c r="N149" s="388" t="n"/>
      <c r="O149" s="388" t="n"/>
      <c r="P149" s="388" t="n"/>
      <c r="Q149" s="388" t="n"/>
      <c r="R149" s="388" t="n"/>
      <c r="S149" s="388" t="n"/>
      <c r="T149" s="388" t="n"/>
    </row>
    <row r="150" ht="15.75" customHeight="1" s="279">
      <c r="A150" s="394" t="n"/>
      <c r="B150" s="394" t="n"/>
      <c r="C150" s="366" t="n"/>
      <c r="D150" s="366" t="n"/>
      <c r="E150" s="366" t="n"/>
      <c r="F150" s="366" t="n"/>
      <c r="G150" s="366" t="n"/>
      <c r="H150" s="366" t="n"/>
      <c r="I150" s="366" t="n"/>
      <c r="J150" s="364" t="n"/>
      <c r="K150" s="366" t="n"/>
      <c r="L150" s="366" t="n"/>
      <c r="M150" s="388" t="n"/>
      <c r="N150" s="388" t="n"/>
      <c r="O150" s="388" t="n"/>
      <c r="P150" s="388" t="n"/>
      <c r="Q150" s="388" t="n"/>
      <c r="R150" s="388" t="n"/>
      <c r="S150" s="388" t="n"/>
      <c r="T150" s="388" t="n"/>
    </row>
    <row r="151" ht="15.75" customHeight="1" s="279">
      <c r="A151" s="394" t="n"/>
      <c r="B151" s="394" t="n"/>
      <c r="C151" s="366" t="n"/>
      <c r="D151" s="366" t="n"/>
      <c r="E151" s="366" t="n"/>
      <c r="F151" s="366" t="n"/>
      <c r="G151" s="366" t="n"/>
      <c r="H151" s="366" t="n"/>
      <c r="I151" s="366" t="n"/>
      <c r="J151" s="364" t="n"/>
      <c r="K151" s="366" t="n"/>
      <c r="L151" s="366" t="n"/>
      <c r="M151" s="388" t="n"/>
      <c r="N151" s="388" t="n"/>
      <c r="O151" s="388" t="n"/>
      <c r="P151" s="388" t="n"/>
      <c r="Q151" s="388" t="n"/>
      <c r="R151" s="388" t="n"/>
      <c r="S151" s="388" t="n"/>
      <c r="T151" s="388" t="n"/>
    </row>
    <row r="152" ht="15.75" customHeight="1" s="279">
      <c r="A152" s="394" t="n"/>
      <c r="B152" s="394" t="n"/>
      <c r="C152" s="366" t="n"/>
      <c r="D152" s="366" t="n"/>
      <c r="E152" s="366" t="n"/>
      <c r="F152" s="366" t="n"/>
      <c r="G152" s="366" t="n"/>
      <c r="H152" s="366" t="n"/>
      <c r="I152" s="366" t="n"/>
      <c r="J152" s="364" t="n"/>
      <c r="K152" s="366" t="n"/>
      <c r="L152" s="366" t="n"/>
      <c r="M152" s="388" t="n"/>
      <c r="N152" s="388" t="n"/>
      <c r="O152" s="388" t="n"/>
      <c r="P152" s="388" t="n"/>
      <c r="Q152" s="388" t="n"/>
      <c r="R152" s="388" t="n"/>
      <c r="S152" s="388" t="n"/>
      <c r="T152" s="388" t="n"/>
    </row>
    <row r="153" ht="15.75" customHeight="1" s="279">
      <c r="A153" s="362" t="n"/>
      <c r="B153" s="367" t="n"/>
      <c r="C153" s="366" t="n"/>
      <c r="D153" s="366" t="n"/>
      <c r="E153" s="366" t="n"/>
      <c r="F153" s="366" t="n"/>
      <c r="G153" s="366" t="n"/>
      <c r="H153" s="366" t="n"/>
      <c r="I153" s="366" t="n"/>
      <c r="J153" s="364" t="n"/>
      <c r="K153" s="366" t="n"/>
      <c r="L153" s="366" t="n"/>
      <c r="M153" s="388" t="n"/>
      <c r="N153" s="388" t="n"/>
      <c r="O153" s="388" t="n"/>
      <c r="P153" s="388" t="n"/>
      <c r="Q153" s="388" t="n"/>
      <c r="R153" s="388" t="n"/>
      <c r="S153" s="388" t="n"/>
      <c r="T153" s="388" t="n"/>
    </row>
    <row r="154" ht="15.75" customHeight="1" s="279">
      <c r="A154" s="394" t="n"/>
      <c r="B154" s="394" t="n"/>
      <c r="C154" s="366" t="n"/>
      <c r="D154" s="366" t="n"/>
      <c r="E154" s="366" t="n"/>
      <c r="F154" s="366" t="n"/>
      <c r="G154" s="366" t="n"/>
      <c r="H154" s="366" t="n"/>
      <c r="I154" s="366" t="n"/>
      <c r="J154" s="364" t="n"/>
      <c r="K154" s="366" t="n"/>
      <c r="L154" s="366" t="n"/>
      <c r="M154" s="388" t="n"/>
      <c r="N154" s="388" t="n"/>
      <c r="O154" s="388" t="n"/>
      <c r="P154" s="388" t="n"/>
      <c r="Q154" s="388" t="n"/>
      <c r="R154" s="388" t="n"/>
      <c r="S154" s="388" t="n"/>
      <c r="T154" s="388" t="n"/>
    </row>
    <row r="155" ht="15.75" customHeight="1" s="279">
      <c r="A155" s="362" t="n"/>
      <c r="B155" s="367" t="n"/>
      <c r="C155" s="366" t="n"/>
      <c r="D155" s="366" t="n"/>
      <c r="E155" s="366" t="n"/>
      <c r="F155" s="366" t="n"/>
      <c r="G155" s="366" t="n"/>
      <c r="H155" s="366" t="n"/>
      <c r="I155" s="366" t="n"/>
      <c r="J155" s="364" t="n"/>
      <c r="K155" s="366" t="n"/>
      <c r="L155" s="366" t="n"/>
      <c r="M155" s="362" t="n"/>
      <c r="N155" s="362" t="n"/>
      <c r="O155" s="362" t="n"/>
      <c r="P155" s="362" t="n"/>
      <c r="Q155" s="362" t="n"/>
      <c r="R155" s="362" t="n"/>
      <c r="S155" s="362" t="n"/>
      <c r="T155" s="362" t="n"/>
    </row>
    <row r="156" ht="15.75" customHeight="1" s="279">
      <c r="A156" s="394" t="n"/>
      <c r="B156" s="394" t="n"/>
      <c r="C156" s="366" t="n"/>
      <c r="D156" s="366" t="n"/>
      <c r="E156" s="366" t="n"/>
      <c r="F156" s="366" t="n"/>
      <c r="G156" s="366" t="n"/>
      <c r="H156" s="366" t="n"/>
      <c r="I156" s="366" t="n"/>
      <c r="J156" s="364" t="n"/>
      <c r="K156" s="366" t="n"/>
      <c r="L156" s="366" t="n"/>
      <c r="M156" s="362" t="n"/>
      <c r="N156" s="362" t="n"/>
      <c r="O156" s="362" t="n"/>
      <c r="P156" s="362" t="n"/>
      <c r="Q156" s="362" t="n"/>
      <c r="R156" s="362" t="n"/>
      <c r="S156" s="362" t="n"/>
      <c r="T156" s="362" t="n"/>
    </row>
    <row r="157" ht="15.75" customHeight="1" s="279">
      <c r="A157" s="394" t="n"/>
      <c r="B157" s="394" t="n"/>
      <c r="C157" s="366" t="n"/>
      <c r="D157" s="366" t="n"/>
      <c r="E157" s="366" t="n"/>
      <c r="F157" s="366" t="n"/>
      <c r="G157" s="366" t="n"/>
      <c r="H157" s="366" t="n"/>
      <c r="I157" s="366" t="n"/>
      <c r="J157" s="364" t="n"/>
      <c r="K157" s="366" t="n"/>
      <c r="L157" s="366" t="n"/>
      <c r="M157" s="362" t="n"/>
      <c r="N157" s="362" t="n"/>
      <c r="O157" s="362" t="n"/>
      <c r="P157" s="362" t="n"/>
      <c r="Q157" s="362" t="n"/>
      <c r="R157" s="362" t="n"/>
      <c r="S157" s="362" t="n"/>
      <c r="T157" s="362" t="n"/>
    </row>
    <row r="158" ht="15.75" customHeight="1" s="279">
      <c r="A158" s="394" t="n"/>
      <c r="B158" s="394" t="n"/>
      <c r="C158" s="366" t="n"/>
      <c r="D158" s="366" t="n"/>
      <c r="E158" s="366" t="n"/>
      <c r="F158" s="366" t="n"/>
      <c r="G158" s="366" t="n"/>
      <c r="H158" s="366" t="n"/>
      <c r="I158" s="366" t="n"/>
      <c r="J158" s="364" t="n"/>
      <c r="K158" s="366" t="n"/>
      <c r="L158" s="366" t="n"/>
      <c r="M158" s="362" t="n"/>
      <c r="N158" s="362" t="n"/>
      <c r="O158" s="362" t="n"/>
      <c r="P158" s="362" t="n"/>
      <c r="Q158" s="362" t="n"/>
      <c r="R158" s="362" t="n"/>
      <c r="S158" s="362" t="n"/>
      <c r="T158" s="362" t="n"/>
    </row>
    <row r="159" ht="15.75" customHeight="1" s="279">
      <c r="A159" s="362" t="n"/>
      <c r="B159" s="367" t="n"/>
      <c r="C159" s="366" t="n"/>
      <c r="D159" s="366" t="n"/>
      <c r="E159" s="366" t="n"/>
      <c r="F159" s="366" t="n"/>
      <c r="G159" s="366" t="n"/>
      <c r="H159" s="366" t="n"/>
      <c r="I159" s="366" t="n"/>
      <c r="J159" s="364" t="n"/>
      <c r="K159" s="366" t="n"/>
      <c r="L159" s="366" t="n"/>
      <c r="M159" s="362" t="n"/>
      <c r="N159" s="362" t="n"/>
      <c r="O159" s="362" t="n"/>
      <c r="P159" s="362" t="n"/>
      <c r="Q159" s="362" t="n"/>
      <c r="R159" s="362" t="n"/>
      <c r="S159" s="362" t="n"/>
      <c r="T159" s="362" t="n"/>
    </row>
    <row r="160" ht="15.75" customHeight="1" s="279">
      <c r="A160" s="394" t="n"/>
      <c r="B160" s="394" t="n"/>
      <c r="C160" s="366" t="n"/>
      <c r="D160" s="366" t="n"/>
      <c r="E160" s="366" t="n"/>
      <c r="F160" s="366" t="n"/>
      <c r="G160" s="366" t="n"/>
      <c r="H160" s="366" t="n"/>
      <c r="I160" s="366" t="n"/>
      <c r="J160" s="364" t="n"/>
      <c r="K160" s="366" t="n"/>
      <c r="L160" s="366" t="n"/>
      <c r="M160" s="362" t="n"/>
      <c r="N160" s="362" t="n"/>
      <c r="O160" s="362" t="n"/>
      <c r="P160" s="362" t="n"/>
      <c r="Q160" s="362" t="n"/>
      <c r="R160" s="362" t="n"/>
      <c r="S160" s="362" t="n"/>
      <c r="T160" s="362" t="n"/>
    </row>
    <row r="161" ht="15.75" customHeight="1" s="279">
      <c r="A161" s="394" t="n"/>
      <c r="B161" s="394" t="n"/>
      <c r="C161" s="366" t="n"/>
      <c r="D161" s="366" t="n"/>
      <c r="E161" s="366" t="n"/>
      <c r="F161" s="366" t="n"/>
      <c r="G161" s="366" t="n"/>
      <c r="H161" s="366" t="n"/>
      <c r="I161" s="366" t="n"/>
      <c r="J161" s="364" t="n"/>
      <c r="K161" s="366" t="n"/>
      <c r="L161" s="366" t="n"/>
      <c r="M161" s="388" t="n"/>
      <c r="N161" s="388" t="n"/>
      <c r="O161" s="388" t="n"/>
      <c r="P161" s="388" t="n"/>
      <c r="Q161" s="388" t="n"/>
      <c r="R161" s="388" t="n"/>
      <c r="S161" s="388" t="n"/>
      <c r="T161" s="388" t="n"/>
    </row>
    <row r="162" ht="15.75" customHeight="1" s="279">
      <c r="A162" s="394" t="n"/>
      <c r="B162" s="394" t="n"/>
      <c r="C162" s="366" t="n"/>
      <c r="D162" s="366" t="n"/>
      <c r="E162" s="366" t="n"/>
      <c r="F162" s="366" t="n"/>
      <c r="G162" s="366" t="n"/>
      <c r="H162" s="366" t="n"/>
      <c r="I162" s="366" t="n"/>
      <c r="J162" s="364" t="n"/>
      <c r="K162" s="366" t="n"/>
      <c r="L162" s="366" t="n"/>
      <c r="M162" s="388" t="n"/>
      <c r="N162" s="388" t="n"/>
      <c r="O162" s="388" t="n"/>
      <c r="P162" s="388" t="n"/>
      <c r="Q162" s="388" t="n"/>
      <c r="R162" s="388" t="n"/>
      <c r="S162" s="388" t="n"/>
      <c r="T162" s="388" t="n"/>
    </row>
    <row r="163" ht="15.75" customHeight="1" s="279">
      <c r="A163" s="394" t="n"/>
      <c r="B163" s="394" t="n"/>
      <c r="C163" s="366" t="n"/>
      <c r="D163" s="366" t="n"/>
      <c r="E163" s="366" t="n"/>
      <c r="F163" s="366" t="n"/>
      <c r="G163" s="366" t="n"/>
      <c r="H163" s="366" t="n"/>
      <c r="I163" s="366" t="n"/>
      <c r="J163" s="364" t="n"/>
      <c r="K163" s="366" t="n"/>
      <c r="L163" s="366" t="n"/>
      <c r="M163" s="388" t="n"/>
      <c r="N163" s="388" t="n"/>
      <c r="O163" s="388" t="n"/>
      <c r="P163" s="388" t="n"/>
      <c r="Q163" s="388" t="n"/>
      <c r="R163" s="388" t="n"/>
      <c r="S163" s="388" t="n"/>
      <c r="T163" s="388" t="n"/>
    </row>
    <row r="164" ht="15.75" customHeight="1" s="279">
      <c r="A164" s="394" t="n"/>
      <c r="B164" s="394" t="n"/>
      <c r="C164" s="366" t="n"/>
      <c r="D164" s="366" t="n"/>
      <c r="E164" s="366" t="n"/>
      <c r="F164" s="366" t="n"/>
      <c r="G164" s="366" t="n"/>
      <c r="H164" s="366" t="n"/>
      <c r="I164" s="366" t="n"/>
      <c r="J164" s="364" t="n"/>
      <c r="K164" s="366" t="n"/>
      <c r="L164" s="366" t="n"/>
      <c r="M164" s="388" t="n"/>
      <c r="N164" s="388" t="n"/>
      <c r="O164" s="388" t="n"/>
      <c r="P164" s="388" t="n"/>
      <c r="Q164" s="388" t="n"/>
      <c r="R164" s="388" t="n"/>
      <c r="S164" s="388" t="n"/>
      <c r="T164" s="388" t="n"/>
    </row>
    <row r="165" ht="15.75" customHeight="1" s="279">
      <c r="A165" s="394" t="n"/>
      <c r="B165" s="394" t="n"/>
      <c r="C165" s="366" t="n"/>
      <c r="D165" s="366" t="n"/>
      <c r="E165" s="366" t="n"/>
      <c r="F165" s="366" t="n"/>
      <c r="G165" s="366" t="n"/>
      <c r="H165" s="366" t="n"/>
      <c r="I165" s="366" t="n"/>
      <c r="J165" s="364" t="n"/>
      <c r="K165" s="366" t="n"/>
      <c r="L165" s="366" t="n"/>
      <c r="M165" s="388" t="n"/>
      <c r="N165" s="388" t="n"/>
      <c r="O165" s="388" t="n"/>
      <c r="P165" s="388" t="n"/>
      <c r="Q165" s="388" t="n"/>
      <c r="R165" s="388" t="n"/>
      <c r="S165" s="388" t="n"/>
      <c r="T165" s="388" t="n"/>
    </row>
    <row r="166" ht="15.75" customHeight="1" s="279">
      <c r="A166" s="394" t="n"/>
      <c r="B166" s="394" t="n"/>
      <c r="C166" s="366" t="n"/>
      <c r="D166" s="366" t="n"/>
      <c r="E166" s="366" t="n"/>
      <c r="F166" s="366" t="n"/>
      <c r="G166" s="366" t="n"/>
      <c r="H166" s="366" t="n"/>
      <c r="I166" s="366" t="n"/>
      <c r="J166" s="364" t="n"/>
      <c r="K166" s="366" t="n"/>
      <c r="L166" s="366" t="n"/>
      <c r="M166" s="388" t="n"/>
      <c r="N166" s="388" t="n"/>
      <c r="O166" s="388" t="n"/>
      <c r="P166" s="388" t="n"/>
      <c r="Q166" s="388" t="n"/>
      <c r="R166" s="388" t="n"/>
      <c r="S166" s="388" t="n"/>
      <c r="T166" s="388" t="n"/>
    </row>
    <row r="167" ht="15.75" customHeight="1" s="279">
      <c r="A167" s="394" t="n"/>
      <c r="B167" s="394" t="n"/>
      <c r="C167" s="366" t="n"/>
      <c r="D167" s="366" t="n"/>
      <c r="E167" s="366" t="n"/>
      <c r="F167" s="366" t="n"/>
      <c r="G167" s="366" t="n"/>
      <c r="H167" s="366" t="n"/>
      <c r="I167" s="366" t="n"/>
      <c r="J167" s="364" t="n"/>
      <c r="K167" s="366" t="n"/>
      <c r="L167" s="366" t="n"/>
      <c r="M167" s="388" t="n"/>
      <c r="N167" s="388" t="n"/>
      <c r="O167" s="388" t="n"/>
      <c r="P167" s="388" t="n"/>
      <c r="Q167" s="388" t="n"/>
      <c r="R167" s="388" t="n"/>
      <c r="S167" s="388" t="n"/>
      <c r="T167" s="388" t="n"/>
    </row>
    <row r="168" ht="15.75" customHeight="1" s="279">
      <c r="A168" s="394" t="n"/>
      <c r="B168" s="394" t="n"/>
      <c r="C168" s="366" t="n"/>
      <c r="D168" s="366" t="n"/>
      <c r="E168" s="366" t="n"/>
      <c r="F168" s="366" t="n"/>
      <c r="G168" s="366" t="n"/>
      <c r="H168" s="366" t="n"/>
      <c r="I168" s="366" t="n"/>
      <c r="J168" s="364" t="n"/>
      <c r="K168" s="366" t="n"/>
      <c r="L168" s="366" t="n"/>
      <c r="M168" s="388" t="n"/>
      <c r="N168" s="388" t="n"/>
      <c r="O168" s="388" t="n"/>
      <c r="P168" s="388" t="n"/>
      <c r="Q168" s="388" t="n"/>
      <c r="R168" s="388" t="n"/>
      <c r="S168" s="388" t="n"/>
      <c r="T168" s="388" t="n"/>
    </row>
    <row r="169" ht="15.75" customHeight="1" s="279">
      <c r="A169" s="394" t="n"/>
      <c r="B169" s="394" t="n"/>
      <c r="C169" s="366" t="n"/>
      <c r="D169" s="366" t="n"/>
      <c r="E169" s="366" t="n"/>
      <c r="F169" s="366" t="n"/>
      <c r="G169" s="366" t="n"/>
      <c r="H169" s="366" t="n"/>
      <c r="I169" s="366" t="n"/>
      <c r="J169" s="364" t="n"/>
      <c r="K169" s="366" t="n"/>
      <c r="L169" s="366" t="n"/>
      <c r="M169" s="388" t="n"/>
      <c r="N169" s="388" t="n"/>
      <c r="O169" s="388" t="n"/>
      <c r="P169" s="388" t="n"/>
      <c r="Q169" s="388" t="n"/>
      <c r="R169" s="388" t="n"/>
      <c r="S169" s="388" t="n"/>
      <c r="T169" s="388" t="n"/>
    </row>
    <row r="170" ht="15.75" customHeight="1" s="279">
      <c r="A170" s="362" t="n"/>
      <c r="B170" s="367" t="n"/>
      <c r="C170" s="366" t="n"/>
      <c r="D170" s="366" t="n"/>
      <c r="E170" s="366" t="n"/>
      <c r="F170" s="366" t="n"/>
      <c r="G170" s="366" t="n"/>
      <c r="H170" s="366" t="n"/>
      <c r="I170" s="366" t="n"/>
      <c r="J170" s="364" t="n"/>
      <c r="K170" s="366" t="n"/>
      <c r="L170" s="366" t="n"/>
      <c r="M170" s="388" t="n"/>
      <c r="N170" s="388" t="n"/>
      <c r="O170" s="388" t="n"/>
      <c r="P170" s="388" t="n"/>
      <c r="Q170" s="388" t="n"/>
      <c r="R170" s="388" t="n"/>
      <c r="S170" s="388" t="n"/>
      <c r="T170" s="388" t="n"/>
    </row>
    <row r="171" ht="15.75" customHeight="1" s="279">
      <c r="A171" s="362" t="n"/>
      <c r="B171" s="367" t="n"/>
      <c r="C171" s="366" t="n"/>
      <c r="D171" s="366" t="n"/>
      <c r="E171" s="366" t="n"/>
      <c r="F171" s="366" t="n"/>
      <c r="G171" s="366" t="n"/>
      <c r="H171" s="366" t="n"/>
      <c r="I171" s="366" t="n"/>
      <c r="J171" s="364" t="n"/>
      <c r="K171" s="366" t="n"/>
      <c r="L171" s="366" t="n"/>
      <c r="M171" s="388" t="n"/>
      <c r="N171" s="388" t="n"/>
      <c r="O171" s="388" t="n"/>
      <c r="P171" s="388" t="n"/>
      <c r="Q171" s="388" t="n"/>
      <c r="R171" s="388" t="n"/>
      <c r="S171" s="388" t="n"/>
      <c r="T171" s="388" t="n"/>
    </row>
    <row r="172" ht="15.75" customHeight="1" s="279">
      <c r="A172" s="340" t="n"/>
      <c r="B172" s="340" t="n"/>
      <c r="C172" s="336" t="n"/>
      <c r="D172" s="336" t="n"/>
      <c r="E172" s="336" t="n"/>
      <c r="F172" s="336" t="n"/>
      <c r="G172" s="336" t="n"/>
      <c r="H172" s="336" t="n"/>
      <c r="I172" s="336" t="n"/>
      <c r="J172" s="353" t="n"/>
      <c r="K172" s="336" t="n"/>
      <c r="L172" s="336" t="n"/>
      <c r="M172" s="349" t="n"/>
      <c r="N172" s="350" t="n"/>
      <c r="O172" s="350" t="n"/>
      <c r="P172" s="350" t="n"/>
      <c r="Q172" s="350" t="n"/>
      <c r="R172" s="350" t="n"/>
      <c r="S172" s="350" t="n"/>
      <c r="T172" s="350" t="n"/>
    </row>
    <row r="173" ht="15.75" customHeight="1" s="279">
      <c r="A173" s="340" t="n"/>
      <c r="B173" s="340" t="n"/>
      <c r="C173" s="336" t="n"/>
      <c r="D173" s="336" t="n"/>
      <c r="E173" s="336" t="n"/>
      <c r="F173" s="336" t="n"/>
      <c r="G173" s="336" t="n"/>
      <c r="H173" s="336" t="n"/>
      <c r="I173" s="336" t="n"/>
      <c r="J173" s="353" t="n"/>
      <c r="K173" s="336" t="n"/>
      <c r="L173" s="336" t="n"/>
      <c r="M173" s="349" t="n"/>
      <c r="N173" s="350" t="n"/>
      <c r="O173" s="350" t="n"/>
      <c r="P173" s="350" t="n"/>
      <c r="Q173" s="350" t="n"/>
      <c r="R173" s="350" t="n"/>
      <c r="S173" s="350" t="n"/>
      <c r="T173" s="350" t="n"/>
    </row>
    <row r="174" ht="15.75" customHeight="1" s="279">
      <c r="A174" s="351" t="n"/>
      <c r="B174" s="352" t="n"/>
      <c r="C174" s="336" t="n"/>
      <c r="D174" s="336" t="n"/>
      <c r="E174" s="336" t="n"/>
      <c r="F174" s="336" t="n"/>
      <c r="G174" s="336" t="n"/>
      <c r="H174" s="336" t="n"/>
      <c r="I174" s="336" t="n"/>
      <c r="J174" s="353" t="n"/>
      <c r="K174" s="336" t="n"/>
      <c r="L174" s="336" t="n"/>
      <c r="M174" s="349" t="n"/>
      <c r="N174" s="350" t="n"/>
      <c r="O174" s="350" t="n"/>
      <c r="P174" s="350" t="n"/>
      <c r="Q174" s="350" t="n"/>
      <c r="R174" s="350" t="n"/>
      <c r="S174" s="350" t="n"/>
      <c r="T174" s="350" t="n"/>
    </row>
    <row r="175" ht="15.75" customHeight="1" s="279">
      <c r="A175" s="340" t="n"/>
      <c r="B175" s="340" t="n"/>
      <c r="C175" s="336" t="n"/>
      <c r="D175" s="336" t="n"/>
      <c r="E175" s="336" t="n"/>
      <c r="F175" s="336" t="n"/>
      <c r="G175" s="336" t="n"/>
      <c r="H175" s="336" t="n"/>
      <c r="I175" s="336" t="n"/>
      <c r="J175" s="353" t="n"/>
      <c r="K175" s="336" t="n"/>
      <c r="L175" s="336" t="n"/>
      <c r="M175" s="349" t="n"/>
      <c r="N175" s="350" t="n"/>
      <c r="O175" s="350" t="n"/>
      <c r="P175" s="350" t="n"/>
      <c r="Q175" s="350" t="n"/>
      <c r="R175" s="350" t="n"/>
      <c r="S175" s="350" t="n"/>
      <c r="T175" s="350" t="n"/>
    </row>
    <row r="176" ht="15.75" customHeight="1" s="279">
      <c r="A176" s="351" t="n"/>
      <c r="B176" s="352" t="n"/>
      <c r="C176" s="336" t="n"/>
      <c r="D176" s="336" t="n"/>
      <c r="E176" s="336" t="n"/>
      <c r="F176" s="336" t="n"/>
      <c r="G176" s="336" t="n"/>
      <c r="H176" s="336" t="n"/>
      <c r="I176" s="336" t="n"/>
      <c r="J176" s="353" t="n"/>
      <c r="K176" s="336" t="n"/>
      <c r="L176" s="336" t="n"/>
      <c r="M176" s="349" t="n"/>
      <c r="N176" s="350" t="n"/>
      <c r="O176" s="350" t="n"/>
      <c r="P176" s="350" t="n"/>
      <c r="Q176" s="350" t="n"/>
      <c r="R176" s="350" t="n"/>
      <c r="S176" s="350" t="n"/>
      <c r="T176" s="350" t="n"/>
    </row>
    <row r="177" ht="15.75" customHeight="1" s="279">
      <c r="A177" s="351" t="n"/>
      <c r="B177" s="352" t="n"/>
      <c r="C177" s="336" t="n"/>
      <c r="D177" s="336" t="n"/>
      <c r="E177" s="336" t="n"/>
      <c r="F177" s="336" t="n"/>
      <c r="G177" s="336" t="n"/>
      <c r="H177" s="336" t="n"/>
      <c r="I177" s="336" t="n"/>
      <c r="J177" s="353" t="n"/>
      <c r="K177" s="336" t="n"/>
      <c r="L177" s="336" t="n"/>
      <c r="M177" s="349" t="n"/>
      <c r="N177" s="350" t="n"/>
      <c r="O177" s="350" t="n"/>
      <c r="P177" s="350" t="n"/>
      <c r="Q177" s="350" t="n"/>
      <c r="R177" s="350" t="n"/>
      <c r="S177" s="350" t="n"/>
      <c r="T177" s="350" t="n"/>
    </row>
    <row r="178" ht="15.75" customHeight="1" s="279">
      <c r="A178" s="340" t="n"/>
      <c r="B178" s="340" t="n"/>
      <c r="C178" s="336" t="n"/>
      <c r="D178" s="336" t="n"/>
      <c r="E178" s="336" t="n"/>
      <c r="F178" s="336" t="n"/>
      <c r="G178" s="336" t="n"/>
      <c r="H178" s="336" t="n"/>
      <c r="I178" s="336" t="n"/>
      <c r="J178" s="353" t="n"/>
      <c r="K178" s="336" t="n"/>
      <c r="L178" s="336" t="n"/>
      <c r="M178" s="349" t="n"/>
      <c r="N178" s="350" t="n"/>
      <c r="O178" s="350" t="n"/>
      <c r="P178" s="350" t="n"/>
      <c r="Q178" s="350" t="n"/>
      <c r="R178" s="350" t="n"/>
      <c r="S178" s="350" t="n"/>
      <c r="T178" s="350" t="n"/>
    </row>
    <row r="179" ht="15.75" customHeight="1" s="279">
      <c r="A179" s="351" t="n"/>
      <c r="B179" s="352" t="n"/>
      <c r="C179" s="336" t="n"/>
      <c r="D179" s="336" t="n"/>
      <c r="E179" s="336" t="n"/>
      <c r="F179" s="336" t="n"/>
      <c r="G179" s="336" t="n"/>
      <c r="H179" s="336" t="n"/>
      <c r="I179" s="336" t="n"/>
      <c r="J179" s="353" t="n"/>
      <c r="K179" s="336" t="n"/>
      <c r="L179" s="336" t="n"/>
      <c r="M179" s="349" t="n"/>
      <c r="N179" s="350" t="n"/>
      <c r="O179" s="350" t="n"/>
      <c r="P179" s="350" t="n"/>
      <c r="Q179" s="350" t="n"/>
      <c r="R179" s="350" t="n"/>
      <c r="S179" s="350" t="n"/>
      <c r="T179" s="350" t="n"/>
    </row>
    <row r="180" ht="15.75" customHeight="1" s="279">
      <c r="A180" s="351" t="n"/>
      <c r="B180" s="352" t="n"/>
      <c r="C180" s="336" t="n"/>
      <c r="D180" s="336" t="n"/>
      <c r="E180" s="336" t="n"/>
      <c r="F180" s="336" t="n"/>
      <c r="G180" s="336" t="n"/>
      <c r="H180" s="336" t="n"/>
      <c r="I180" s="336" t="n"/>
      <c r="J180" s="353" t="n"/>
      <c r="K180" s="336" t="n"/>
      <c r="L180" s="336" t="n"/>
      <c r="M180" s="349" t="n"/>
      <c r="N180" s="350" t="n"/>
      <c r="O180" s="350" t="n"/>
      <c r="P180" s="350" t="n"/>
      <c r="Q180" s="350" t="n"/>
      <c r="R180" s="350" t="n"/>
      <c r="S180" s="350" t="n"/>
      <c r="T180" s="350" t="n"/>
    </row>
    <row r="181" ht="15.75" customHeight="1" s="279">
      <c r="A181" s="340" t="n"/>
      <c r="B181" s="340" t="n"/>
      <c r="C181" s="336" t="n"/>
      <c r="D181" s="336" t="n"/>
      <c r="E181" s="336" t="n"/>
      <c r="F181" s="336" t="n"/>
      <c r="G181" s="336" t="n"/>
      <c r="H181" s="336" t="n"/>
      <c r="I181" s="336" t="n"/>
      <c r="J181" s="353" t="n"/>
      <c r="K181" s="336" t="n"/>
      <c r="L181" s="336" t="n"/>
      <c r="M181" s="349" t="n"/>
      <c r="N181" s="350" t="n"/>
      <c r="O181" s="350" t="n"/>
      <c r="P181" s="350" t="n"/>
      <c r="Q181" s="350" t="n"/>
      <c r="R181" s="350" t="n"/>
      <c r="S181" s="350" t="n"/>
      <c r="T181" s="350" t="n"/>
    </row>
    <row r="182" ht="15.75" customHeight="1" s="279">
      <c r="A182" s="351" t="n"/>
      <c r="B182" s="352" t="n"/>
      <c r="C182" s="336" t="n"/>
      <c r="D182" s="336" t="n"/>
      <c r="E182" s="336" t="n"/>
      <c r="F182" s="336" t="n"/>
      <c r="G182" s="336" t="n"/>
      <c r="H182" s="336" t="n"/>
      <c r="I182" s="336" t="n"/>
      <c r="J182" s="353" t="n"/>
      <c r="K182" s="336" t="n"/>
      <c r="L182" s="336" t="n"/>
      <c r="M182" s="349" t="n"/>
      <c r="N182" s="350" t="n"/>
      <c r="O182" s="350" t="n"/>
      <c r="P182" s="350" t="n"/>
      <c r="Q182" s="350" t="n"/>
      <c r="R182" s="350" t="n"/>
      <c r="S182" s="350" t="n"/>
      <c r="T182" s="350" t="n"/>
    </row>
    <row r="183" ht="15.75" customHeight="1" s="279">
      <c r="A183" s="340" t="n"/>
      <c r="B183" s="340" t="n"/>
      <c r="C183" s="336" t="n"/>
      <c r="D183" s="336" t="n"/>
      <c r="E183" s="336" t="n"/>
      <c r="F183" s="336" t="n"/>
      <c r="G183" s="336" t="n"/>
      <c r="H183" s="336" t="n"/>
      <c r="I183" s="336" t="n"/>
      <c r="J183" s="353" t="n"/>
      <c r="K183" s="336" t="n"/>
      <c r="L183" s="336" t="n"/>
      <c r="M183" s="349" t="n"/>
      <c r="N183" s="350" t="n"/>
      <c r="O183" s="350" t="n"/>
      <c r="P183" s="350" t="n"/>
      <c r="Q183" s="350" t="n"/>
      <c r="R183" s="350" t="n"/>
      <c r="S183" s="350" t="n"/>
      <c r="T183" s="350" t="n"/>
    </row>
    <row r="184" ht="15.75" customHeight="1" s="279">
      <c r="A184" s="351" t="n"/>
      <c r="B184" s="352" t="n"/>
      <c r="C184" s="336" t="n"/>
      <c r="D184" s="336" t="n"/>
      <c r="E184" s="336" t="n"/>
      <c r="F184" s="336" t="n"/>
      <c r="G184" s="336" t="n"/>
      <c r="H184" s="336" t="n"/>
      <c r="I184" s="336" t="n"/>
      <c r="J184" s="353" t="n"/>
      <c r="K184" s="336" t="n"/>
      <c r="L184" s="336" t="n"/>
      <c r="M184" s="349" t="n"/>
      <c r="N184" s="350" t="n"/>
      <c r="O184" s="350" t="n"/>
      <c r="P184" s="350" t="n"/>
      <c r="Q184" s="350" t="n"/>
      <c r="R184" s="350" t="n"/>
      <c r="S184" s="350" t="n"/>
      <c r="T184" s="350" t="n"/>
    </row>
    <row r="185" ht="15.75" customHeight="1" s="279">
      <c r="A185" s="340" t="n"/>
      <c r="B185" s="340" t="n"/>
      <c r="C185" s="336" t="n"/>
      <c r="D185" s="336" t="n"/>
      <c r="E185" s="336" t="n"/>
      <c r="F185" s="336" t="n"/>
      <c r="G185" s="336" t="n"/>
      <c r="H185" s="336" t="n"/>
      <c r="I185" s="336" t="n"/>
      <c r="J185" s="353" t="n"/>
      <c r="K185" s="336" t="n"/>
      <c r="L185" s="336" t="n"/>
      <c r="M185" s="349" t="n"/>
      <c r="N185" s="350" t="n"/>
      <c r="O185" s="350" t="n"/>
      <c r="P185" s="350" t="n"/>
      <c r="Q185" s="350" t="n"/>
      <c r="R185" s="350" t="n"/>
      <c r="S185" s="350" t="n"/>
      <c r="T185" s="350" t="n"/>
    </row>
    <row r="186" ht="15.75" customHeight="1" s="279">
      <c r="A186" s="351" t="n"/>
      <c r="B186" s="352" t="n"/>
      <c r="C186" s="336" t="n"/>
      <c r="D186" s="336" t="n"/>
      <c r="E186" s="336" t="n"/>
      <c r="F186" s="336" t="n"/>
      <c r="G186" s="336" t="n"/>
      <c r="H186" s="336" t="n"/>
      <c r="I186" s="336" t="n"/>
      <c r="J186" s="353" t="n"/>
      <c r="K186" s="336" t="n"/>
      <c r="L186" s="336" t="n"/>
      <c r="M186" s="349" t="n"/>
      <c r="N186" s="350" t="n"/>
      <c r="O186" s="350" t="n"/>
      <c r="P186" s="350" t="n"/>
      <c r="Q186" s="350" t="n"/>
      <c r="R186" s="350" t="n"/>
      <c r="S186" s="350" t="n"/>
      <c r="T186" s="350" t="n"/>
    </row>
    <row r="187" ht="15.75" customHeight="1" s="279">
      <c r="A187" s="340" t="n"/>
      <c r="B187" s="340" t="n"/>
      <c r="C187" s="336" t="n"/>
      <c r="D187" s="336" t="n"/>
      <c r="E187" s="336" t="n"/>
      <c r="F187" s="336" t="n"/>
      <c r="G187" s="336" t="n"/>
      <c r="H187" s="336" t="n"/>
      <c r="I187" s="336" t="n"/>
      <c r="J187" s="353" t="n"/>
      <c r="K187" s="336" t="n"/>
      <c r="L187" s="336" t="n"/>
      <c r="M187" s="349" t="n"/>
      <c r="N187" s="350" t="n"/>
      <c r="O187" s="350" t="n"/>
      <c r="P187" s="350" t="n"/>
      <c r="Q187" s="350" t="n"/>
      <c r="R187" s="350" t="n"/>
      <c r="S187" s="350" t="n"/>
      <c r="T187" s="350" t="n"/>
    </row>
    <row r="188" ht="15.75" customHeight="1" s="279">
      <c r="A188" s="340" t="n"/>
      <c r="B188" s="340" t="n"/>
      <c r="C188" s="336" t="n"/>
      <c r="D188" s="336" t="n"/>
      <c r="E188" s="336" t="n"/>
      <c r="F188" s="336" t="n"/>
      <c r="G188" s="336" t="n"/>
      <c r="H188" s="336" t="n"/>
      <c r="I188" s="336" t="n"/>
      <c r="J188" s="353" t="n"/>
      <c r="K188" s="336" t="n"/>
      <c r="L188" s="336" t="n"/>
      <c r="M188" s="349" t="n"/>
      <c r="N188" s="350" t="n"/>
      <c r="O188" s="350" t="n"/>
      <c r="P188" s="350" t="n"/>
      <c r="Q188" s="350" t="n"/>
      <c r="R188" s="350" t="n"/>
      <c r="S188" s="350" t="n"/>
      <c r="T188" s="350" t="n"/>
    </row>
    <row r="189" ht="15.75" customHeight="1" s="279">
      <c r="A189" s="340" t="n"/>
      <c r="B189" s="340" t="n"/>
      <c r="C189" s="336" t="n"/>
      <c r="D189" s="336" t="n"/>
      <c r="E189" s="336" t="n"/>
      <c r="F189" s="336" t="n"/>
      <c r="G189" s="336" t="n"/>
      <c r="H189" s="336" t="n"/>
      <c r="I189" s="336" t="n"/>
      <c r="J189" s="353" t="n"/>
      <c r="K189" s="336" t="n"/>
      <c r="L189" s="336" t="n"/>
      <c r="M189" s="349" t="n"/>
      <c r="N189" s="350" t="n"/>
      <c r="O189" s="350" t="n"/>
      <c r="P189" s="350" t="n"/>
      <c r="Q189" s="350" t="n"/>
      <c r="R189" s="350" t="n"/>
      <c r="S189" s="350" t="n"/>
      <c r="T189" s="350" t="n"/>
    </row>
    <row r="190" ht="15.75" customHeight="1" s="279">
      <c r="A190" s="340" t="n"/>
      <c r="B190" s="340" t="n"/>
      <c r="C190" s="336" t="n"/>
      <c r="D190" s="336" t="n"/>
      <c r="E190" s="336" t="n"/>
      <c r="F190" s="336" t="n"/>
      <c r="G190" s="336" t="n"/>
      <c r="H190" s="336" t="n"/>
      <c r="I190" s="336" t="n"/>
      <c r="J190" s="353" t="n"/>
      <c r="K190" s="336" t="n"/>
      <c r="L190" s="336" t="n"/>
      <c r="M190" s="349" t="n"/>
      <c r="N190" s="350" t="n"/>
      <c r="O190" s="350" t="n"/>
      <c r="P190" s="350" t="n"/>
      <c r="Q190" s="350" t="n"/>
      <c r="R190" s="350" t="n"/>
      <c r="S190" s="350" t="n"/>
      <c r="T190" s="350" t="n"/>
    </row>
    <row r="191" ht="15.75" customHeight="1" s="279">
      <c r="A191" s="340" t="n"/>
      <c r="B191" s="340" t="n"/>
      <c r="C191" s="336" t="n"/>
      <c r="D191" s="336" t="n"/>
      <c r="E191" s="336" t="n"/>
      <c r="F191" s="336" t="n"/>
      <c r="G191" s="336" t="n"/>
      <c r="H191" s="336" t="n"/>
      <c r="I191" s="336" t="n"/>
      <c r="J191" s="353" t="n"/>
      <c r="K191" s="336" t="n"/>
      <c r="L191" s="336" t="n"/>
      <c r="M191" s="349" t="n"/>
      <c r="N191" s="350" t="n"/>
      <c r="O191" s="350" t="n"/>
      <c r="P191" s="350" t="n"/>
      <c r="Q191" s="350" t="n"/>
      <c r="R191" s="350" t="n"/>
      <c r="S191" s="350" t="n"/>
      <c r="T191" s="350" t="n"/>
    </row>
    <row r="192" ht="15.75" customHeight="1" s="279">
      <c r="A192" s="340" t="n"/>
      <c r="B192" s="340" t="n"/>
      <c r="C192" s="336" t="n"/>
      <c r="D192" s="336" t="n"/>
      <c r="E192" s="336" t="n"/>
      <c r="F192" s="336" t="n"/>
      <c r="G192" s="336" t="n"/>
      <c r="H192" s="336" t="n"/>
      <c r="I192" s="336" t="n"/>
      <c r="J192" s="353" t="n"/>
      <c r="K192" s="336" t="n"/>
      <c r="L192" s="336" t="n"/>
      <c r="M192" s="349" t="n"/>
      <c r="N192" s="350" t="n"/>
      <c r="O192" s="350" t="n"/>
      <c r="P192" s="350" t="n"/>
      <c r="Q192" s="350" t="n"/>
      <c r="R192" s="350" t="n"/>
      <c r="S192" s="350" t="n"/>
      <c r="T192" s="350" t="n"/>
    </row>
    <row r="193" ht="15.75" customHeight="1" s="279">
      <c r="A193" s="340" t="n"/>
      <c r="B193" s="340" t="n"/>
      <c r="C193" s="336" t="n"/>
      <c r="D193" s="336" t="n"/>
      <c r="E193" s="336" t="n"/>
      <c r="F193" s="336" t="n"/>
      <c r="G193" s="336" t="n"/>
      <c r="H193" s="336" t="n"/>
      <c r="I193" s="336" t="n"/>
      <c r="J193" s="353" t="n"/>
      <c r="K193" s="336" t="n"/>
      <c r="L193" s="336" t="n"/>
      <c r="M193" s="349" t="n"/>
      <c r="N193" s="350" t="n"/>
      <c r="O193" s="350" t="n"/>
      <c r="P193" s="350" t="n"/>
      <c r="Q193" s="350" t="n"/>
      <c r="R193" s="350" t="n"/>
      <c r="S193" s="350" t="n"/>
      <c r="T193" s="350" t="n"/>
    </row>
    <row r="194" ht="15.75" customHeight="1" s="279">
      <c r="A194" s="340" t="n"/>
      <c r="B194" s="340" t="n"/>
      <c r="C194" s="336" t="n"/>
      <c r="D194" s="336" t="n"/>
      <c r="E194" s="336" t="n"/>
      <c r="F194" s="336" t="n"/>
      <c r="G194" s="336" t="n"/>
      <c r="H194" s="336" t="n"/>
      <c r="I194" s="336" t="n"/>
      <c r="J194" s="353" t="n"/>
      <c r="K194" s="336" t="n"/>
      <c r="L194" s="336" t="n"/>
      <c r="M194" s="349" t="n"/>
      <c r="N194" s="350" t="n"/>
      <c r="O194" s="350" t="n"/>
      <c r="P194" s="350" t="n"/>
      <c r="Q194" s="350" t="n"/>
      <c r="R194" s="350" t="n"/>
      <c r="S194" s="350" t="n"/>
      <c r="T194" s="350" t="n"/>
    </row>
    <row r="195" ht="15.75" customHeight="1" s="279">
      <c r="A195" s="340" t="n"/>
      <c r="B195" s="340" t="n"/>
      <c r="C195" s="336" t="n"/>
      <c r="D195" s="336" t="n"/>
      <c r="E195" s="336" t="n"/>
      <c r="F195" s="336" t="n"/>
      <c r="G195" s="336" t="n"/>
      <c r="H195" s="336" t="n"/>
      <c r="I195" s="336" t="n"/>
      <c r="J195" s="353" t="n"/>
      <c r="K195" s="336" t="n"/>
      <c r="L195" s="336" t="n"/>
      <c r="M195" s="349" t="n"/>
      <c r="N195" s="350" t="n"/>
      <c r="O195" s="350" t="n"/>
      <c r="P195" s="350" t="n"/>
      <c r="Q195" s="350" t="n"/>
      <c r="R195" s="350" t="n"/>
      <c r="S195" s="350" t="n"/>
      <c r="T195" s="350" t="n"/>
    </row>
    <row r="196" ht="15.75" customHeight="1" s="279">
      <c r="A196" s="340" t="n"/>
      <c r="B196" s="340" t="n"/>
      <c r="C196" s="336" t="n"/>
      <c r="D196" s="336" t="n"/>
      <c r="E196" s="336" t="n"/>
      <c r="F196" s="336" t="n"/>
      <c r="G196" s="336" t="n"/>
      <c r="H196" s="336" t="n"/>
      <c r="I196" s="336" t="n"/>
      <c r="J196" s="353" t="n"/>
      <c r="K196" s="336" t="n"/>
      <c r="L196" s="336" t="n"/>
      <c r="M196" s="349" t="n"/>
      <c r="N196" s="350" t="n"/>
      <c r="O196" s="350" t="n"/>
      <c r="P196" s="350" t="n"/>
      <c r="Q196" s="350" t="n"/>
      <c r="R196" s="350" t="n"/>
      <c r="S196" s="350" t="n"/>
      <c r="T196" s="350" t="n"/>
    </row>
    <row r="197" ht="15.75" customHeight="1" s="279">
      <c r="A197" s="340" t="n"/>
      <c r="B197" s="340" t="n"/>
      <c r="C197" s="336" t="n"/>
      <c r="D197" s="336" t="n"/>
      <c r="E197" s="336" t="n"/>
      <c r="F197" s="336" t="n"/>
      <c r="G197" s="336" t="n"/>
      <c r="H197" s="336" t="n"/>
      <c r="I197" s="336" t="n"/>
      <c r="J197" s="353" t="n"/>
      <c r="K197" s="336" t="n"/>
      <c r="L197" s="336" t="n"/>
      <c r="M197" s="349" t="n"/>
      <c r="N197" s="350" t="n"/>
      <c r="O197" s="350" t="n"/>
      <c r="P197" s="350" t="n"/>
      <c r="Q197" s="350" t="n"/>
      <c r="R197" s="350" t="n"/>
      <c r="S197" s="350" t="n"/>
      <c r="T197" s="350" t="n"/>
    </row>
    <row r="198" ht="15.75" customHeight="1" s="279">
      <c r="A198" s="340" t="n"/>
      <c r="B198" s="340" t="n"/>
      <c r="C198" s="336" t="n"/>
      <c r="D198" s="336" t="n"/>
      <c r="E198" s="336" t="n"/>
      <c r="F198" s="336" t="n"/>
      <c r="G198" s="336" t="n"/>
      <c r="H198" s="336" t="n"/>
      <c r="I198" s="336" t="n"/>
      <c r="J198" s="353" t="n"/>
      <c r="K198" s="336" t="n"/>
      <c r="L198" s="336" t="n"/>
      <c r="M198" s="349" t="n"/>
      <c r="N198" s="350" t="n"/>
      <c r="O198" s="350" t="n"/>
      <c r="P198" s="350" t="n"/>
      <c r="Q198" s="350" t="n"/>
      <c r="R198" s="350" t="n"/>
      <c r="S198" s="350" t="n"/>
      <c r="T198" s="350" t="n"/>
    </row>
    <row r="199" ht="15.75" customHeight="1" s="279">
      <c r="A199" s="351" t="n"/>
      <c r="B199" s="352" t="n"/>
      <c r="C199" s="336" t="n"/>
      <c r="D199" s="336" t="n"/>
      <c r="E199" s="336" t="n"/>
      <c r="F199" s="336" t="n"/>
      <c r="G199" s="336" t="n"/>
      <c r="H199" s="336" t="n"/>
      <c r="I199" s="336" t="n"/>
      <c r="J199" s="353" t="n"/>
      <c r="K199" s="336" t="n"/>
      <c r="L199" s="336" t="n"/>
      <c r="M199" s="349" t="n"/>
      <c r="N199" s="350" t="n"/>
      <c r="O199" s="350" t="n"/>
      <c r="P199" s="350" t="n"/>
      <c r="Q199" s="350" t="n"/>
      <c r="R199" s="350" t="n"/>
      <c r="S199" s="350" t="n"/>
      <c r="T199" s="350" t="n"/>
    </row>
    <row r="200" ht="15.75" customHeight="1" s="279">
      <c r="A200" s="340" t="n"/>
      <c r="B200" s="340" t="n"/>
      <c r="C200" s="336" t="n"/>
      <c r="D200" s="336" t="n"/>
      <c r="E200" s="336" t="n"/>
      <c r="F200" s="336" t="n"/>
      <c r="G200" s="336" t="n"/>
      <c r="H200" s="336" t="n"/>
      <c r="I200" s="336" t="n"/>
      <c r="J200" s="353" t="n"/>
      <c r="K200" s="336" t="n"/>
      <c r="L200" s="336" t="n"/>
      <c r="M200" s="349" t="n"/>
      <c r="N200" s="350" t="n"/>
      <c r="O200" s="350" t="n"/>
      <c r="P200" s="350" t="n"/>
      <c r="Q200" s="350" t="n"/>
      <c r="R200" s="350" t="n"/>
      <c r="S200" s="350" t="n"/>
      <c r="T200" s="350" t="n"/>
    </row>
    <row r="201" ht="15.75" customHeight="1" s="279">
      <c r="A201" s="340" t="n"/>
      <c r="B201" s="340" t="n"/>
      <c r="C201" s="336" t="n"/>
      <c r="D201" s="336" t="n"/>
      <c r="E201" s="336" t="n"/>
      <c r="F201" s="336" t="n"/>
      <c r="G201" s="336" t="n"/>
      <c r="H201" s="336" t="n"/>
      <c r="I201" s="336" t="n"/>
      <c r="J201" s="353" t="n"/>
      <c r="K201" s="336" t="n"/>
      <c r="L201" s="336" t="n"/>
      <c r="M201" s="349" t="n"/>
      <c r="N201" s="350" t="n"/>
      <c r="O201" s="350" t="n"/>
      <c r="P201" s="350" t="n"/>
      <c r="Q201" s="350" t="n"/>
      <c r="R201" s="350" t="n"/>
      <c r="S201" s="350" t="n"/>
      <c r="T201" s="350" t="n"/>
    </row>
    <row r="202" ht="15.75" customHeight="1" s="279">
      <c r="A202" s="340" t="n"/>
      <c r="B202" s="340" t="n"/>
      <c r="C202" s="336" t="n"/>
      <c r="D202" s="336" t="n"/>
      <c r="E202" s="336" t="n"/>
      <c r="F202" s="336" t="n"/>
      <c r="G202" s="336" t="n"/>
      <c r="H202" s="336" t="n"/>
      <c r="I202" s="336" t="n"/>
      <c r="J202" s="353" t="n"/>
      <c r="K202" s="336" t="n"/>
      <c r="L202" s="336" t="n"/>
      <c r="M202" s="349" t="n"/>
      <c r="N202" s="350" t="n"/>
      <c r="O202" s="350" t="n"/>
      <c r="P202" s="350" t="n"/>
      <c r="Q202" s="350" t="n"/>
      <c r="R202" s="350" t="n"/>
      <c r="S202" s="350" t="n"/>
      <c r="T202" s="350" t="n"/>
    </row>
    <row r="203" ht="15.75" customHeight="1" s="279">
      <c r="A203" s="340" t="n"/>
      <c r="B203" s="340" t="n"/>
      <c r="C203" s="336" t="n"/>
      <c r="D203" s="336" t="n"/>
      <c r="E203" s="336" t="n"/>
      <c r="F203" s="336" t="n"/>
      <c r="G203" s="336" t="n"/>
      <c r="H203" s="336" t="n"/>
      <c r="I203" s="336" t="n"/>
      <c r="J203" s="353" t="n"/>
      <c r="K203" s="336" t="n"/>
      <c r="L203" s="336" t="n"/>
      <c r="M203" s="349" t="n"/>
      <c r="N203" s="350" t="n"/>
      <c r="O203" s="350" t="n"/>
      <c r="P203" s="350" t="n"/>
      <c r="Q203" s="350" t="n"/>
      <c r="R203" s="350" t="n"/>
      <c r="S203" s="350" t="n"/>
      <c r="T203" s="350" t="n"/>
    </row>
    <row r="204" ht="15.75" customHeight="1" s="279">
      <c r="A204" s="340" t="n"/>
      <c r="B204" s="340" t="n"/>
      <c r="C204" s="336" t="n"/>
      <c r="D204" s="336" t="n"/>
      <c r="E204" s="336" t="n"/>
      <c r="F204" s="336" t="n"/>
      <c r="G204" s="336" t="n"/>
      <c r="H204" s="336" t="n"/>
      <c r="I204" s="336" t="n"/>
      <c r="J204" s="353" t="n"/>
      <c r="K204" s="336" t="n"/>
      <c r="L204" s="336" t="n"/>
      <c r="M204" s="349" t="n"/>
      <c r="N204" s="350" t="n"/>
      <c r="O204" s="350" t="n"/>
      <c r="P204" s="350" t="n"/>
      <c r="Q204" s="350" t="n"/>
      <c r="R204" s="350" t="n"/>
      <c r="S204" s="350" t="n"/>
      <c r="T204" s="350" t="n"/>
    </row>
    <row r="205" ht="15.75" customHeight="1" s="279">
      <c r="A205" s="340" t="n"/>
      <c r="B205" s="340" t="n"/>
      <c r="C205" s="336" t="n"/>
      <c r="D205" s="336" t="n"/>
      <c r="E205" s="336" t="n"/>
      <c r="F205" s="336" t="n"/>
      <c r="G205" s="336" t="n"/>
      <c r="H205" s="336" t="n"/>
      <c r="I205" s="336" t="n"/>
      <c r="J205" s="353" t="n"/>
      <c r="K205" s="336" t="n"/>
      <c r="L205" s="336" t="n"/>
      <c r="M205" s="349" t="n"/>
      <c r="N205" s="350" t="n"/>
      <c r="O205" s="350" t="n"/>
      <c r="P205" s="350" t="n"/>
      <c r="Q205" s="350" t="n"/>
      <c r="R205" s="350" t="n"/>
      <c r="S205" s="350" t="n"/>
      <c r="T205" s="350" t="n"/>
    </row>
    <row r="206" ht="15.75" customHeight="1" s="279">
      <c r="A206" s="340" t="n"/>
      <c r="B206" s="340" t="n"/>
      <c r="C206" s="336" t="n"/>
      <c r="D206" s="336" t="n"/>
      <c r="E206" s="336" t="n"/>
      <c r="F206" s="336" t="n"/>
      <c r="G206" s="336" t="n"/>
      <c r="H206" s="336" t="n"/>
      <c r="I206" s="336" t="n"/>
      <c r="J206" s="353" t="n"/>
      <c r="K206" s="336" t="n"/>
      <c r="L206" s="336" t="n"/>
      <c r="M206" s="349" t="n"/>
      <c r="N206" s="350" t="n"/>
      <c r="O206" s="350" t="n"/>
      <c r="P206" s="350" t="n"/>
      <c r="Q206" s="350" t="n"/>
      <c r="R206" s="350" t="n"/>
      <c r="S206" s="350" t="n"/>
      <c r="T206" s="350" t="n"/>
    </row>
    <row r="207" ht="15.75" customHeight="1" s="279">
      <c r="A207" s="340" t="n"/>
      <c r="B207" s="340" t="n"/>
      <c r="C207" s="336" t="n"/>
      <c r="D207" s="336" t="n"/>
      <c r="E207" s="336" t="n"/>
      <c r="F207" s="336" t="n"/>
      <c r="G207" s="336" t="n"/>
      <c r="H207" s="336" t="n"/>
      <c r="I207" s="336" t="n"/>
      <c r="J207" s="353" t="n"/>
      <c r="K207" s="336" t="n"/>
      <c r="L207" s="336" t="n"/>
      <c r="M207" s="349" t="n"/>
      <c r="N207" s="350" t="n"/>
      <c r="O207" s="350" t="n"/>
      <c r="P207" s="350" t="n"/>
      <c r="Q207" s="350" t="n"/>
      <c r="R207" s="350" t="n"/>
      <c r="S207" s="350" t="n"/>
      <c r="T207" s="350" t="n"/>
    </row>
    <row r="208" ht="15.75" customHeight="1" s="279">
      <c r="A208" s="340" t="n"/>
      <c r="B208" s="340" t="n"/>
      <c r="C208" s="336" t="n"/>
      <c r="D208" s="336" t="n"/>
      <c r="E208" s="336" t="n"/>
      <c r="F208" s="336" t="n"/>
      <c r="G208" s="336" t="n"/>
      <c r="H208" s="336" t="n"/>
      <c r="I208" s="336" t="n"/>
      <c r="J208" s="353" t="n"/>
      <c r="K208" s="336" t="n"/>
      <c r="L208" s="336" t="n"/>
      <c r="M208" s="349" t="n"/>
      <c r="N208" s="350" t="n"/>
      <c r="O208" s="350" t="n"/>
      <c r="P208" s="350" t="n"/>
      <c r="Q208" s="350" t="n"/>
      <c r="R208" s="350" t="n"/>
      <c r="S208" s="350" t="n"/>
      <c r="T208" s="350" t="n"/>
    </row>
    <row r="209" ht="15.75" customHeight="1" s="279">
      <c r="A209" s="340" t="n"/>
      <c r="B209" s="340" t="n"/>
      <c r="C209" s="336" t="n"/>
      <c r="D209" s="336" t="n"/>
      <c r="E209" s="336" t="n"/>
      <c r="F209" s="336" t="n"/>
      <c r="G209" s="336" t="n"/>
      <c r="H209" s="336" t="n"/>
      <c r="I209" s="336" t="n"/>
      <c r="J209" s="353" t="n"/>
      <c r="K209" s="336" t="n"/>
      <c r="L209" s="336" t="n"/>
      <c r="M209" s="349" t="n"/>
      <c r="N209" s="350" t="n"/>
      <c r="O209" s="350" t="n"/>
      <c r="P209" s="350" t="n"/>
      <c r="Q209" s="350" t="n"/>
      <c r="R209" s="350" t="n"/>
      <c r="S209" s="350" t="n"/>
      <c r="T209" s="350" t="n"/>
    </row>
    <row r="210" ht="15.75" customHeight="1" s="279">
      <c r="A210" s="340" t="n"/>
      <c r="B210" s="340" t="n"/>
      <c r="C210" s="336" t="n"/>
      <c r="D210" s="336" t="n"/>
      <c r="E210" s="336" t="n"/>
      <c r="F210" s="336" t="n"/>
      <c r="G210" s="336" t="n"/>
      <c r="H210" s="336" t="n"/>
      <c r="I210" s="336" t="n"/>
      <c r="J210" s="353" t="n"/>
      <c r="K210" s="336" t="n"/>
      <c r="L210" s="336" t="n"/>
      <c r="M210" s="349" t="n"/>
      <c r="N210" s="350" t="n"/>
      <c r="O210" s="350" t="n"/>
      <c r="P210" s="350" t="n"/>
      <c r="Q210" s="350" t="n"/>
      <c r="R210" s="350" t="n"/>
      <c r="S210" s="350" t="n"/>
      <c r="T210" s="350" t="n"/>
    </row>
    <row r="211" ht="15.75" customHeight="1" s="279">
      <c r="A211" s="340" t="n"/>
      <c r="B211" s="340" t="n"/>
      <c r="C211" s="336" t="n"/>
      <c r="D211" s="336" t="n"/>
      <c r="E211" s="336" t="n"/>
      <c r="F211" s="336" t="n"/>
      <c r="G211" s="336" t="n"/>
      <c r="H211" s="336" t="n"/>
      <c r="I211" s="336" t="n"/>
      <c r="J211" s="353" t="n"/>
      <c r="K211" s="336" t="n"/>
      <c r="L211" s="336" t="n"/>
      <c r="M211" s="349" t="n"/>
      <c r="N211" s="350" t="n"/>
      <c r="O211" s="350" t="n"/>
      <c r="P211" s="350" t="n"/>
      <c r="Q211" s="350" t="n"/>
      <c r="R211" s="350" t="n"/>
      <c r="S211" s="350" t="n"/>
      <c r="T211" s="350" t="n"/>
    </row>
    <row r="212" ht="15.75" customHeight="1" s="279">
      <c r="A212" s="340" t="n"/>
      <c r="B212" s="340" t="n"/>
      <c r="C212" s="336" t="n"/>
      <c r="D212" s="336" t="n"/>
      <c r="E212" s="336" t="n"/>
      <c r="F212" s="336" t="n"/>
      <c r="G212" s="336" t="n"/>
      <c r="H212" s="336" t="n"/>
      <c r="I212" s="336" t="n"/>
      <c r="J212" s="353" t="n"/>
      <c r="K212" s="336" t="n"/>
      <c r="L212" s="336" t="n"/>
      <c r="M212" s="349" t="n"/>
      <c r="N212" s="350" t="n"/>
      <c r="O212" s="350" t="n"/>
      <c r="P212" s="350" t="n"/>
      <c r="Q212" s="350" t="n"/>
      <c r="R212" s="350" t="n"/>
      <c r="S212" s="350" t="n"/>
      <c r="T212" s="350" t="n"/>
    </row>
    <row r="213" ht="15.75" customHeight="1" s="279">
      <c r="A213" s="340" t="n"/>
      <c r="B213" s="340" t="n"/>
      <c r="C213" s="336" t="n"/>
      <c r="D213" s="336" t="n"/>
      <c r="E213" s="336" t="n"/>
      <c r="F213" s="336" t="n"/>
      <c r="G213" s="336" t="n"/>
      <c r="H213" s="336" t="n"/>
      <c r="I213" s="336" t="n"/>
      <c r="J213" s="353" t="n"/>
      <c r="K213" s="336" t="n"/>
      <c r="L213" s="336" t="n"/>
      <c r="M213" s="349" t="n"/>
      <c r="N213" s="350" t="n"/>
      <c r="O213" s="350" t="n"/>
      <c r="P213" s="350" t="n"/>
      <c r="Q213" s="350" t="n"/>
      <c r="R213" s="350" t="n"/>
      <c r="S213" s="350" t="n"/>
      <c r="T213" s="350" t="n"/>
    </row>
    <row r="214" ht="15.75" customHeight="1" s="279">
      <c r="A214" s="340" t="n"/>
      <c r="B214" s="340" t="n"/>
      <c r="C214" s="336" t="n"/>
      <c r="D214" s="336" t="n"/>
      <c r="E214" s="336" t="n"/>
      <c r="F214" s="336" t="n"/>
      <c r="G214" s="336" t="n"/>
      <c r="H214" s="336" t="n"/>
      <c r="I214" s="336" t="n"/>
      <c r="J214" s="353" t="n"/>
      <c r="K214" s="336" t="n"/>
      <c r="L214" s="336" t="n"/>
      <c r="M214" s="349" t="n"/>
      <c r="N214" s="350" t="n"/>
      <c r="O214" s="350" t="n"/>
      <c r="P214" s="350" t="n"/>
      <c r="Q214" s="350" t="n"/>
      <c r="R214" s="350" t="n"/>
      <c r="S214" s="350" t="n"/>
      <c r="T214" s="350" t="n"/>
    </row>
    <row r="215" ht="15.75" customHeight="1" s="279">
      <c r="A215" s="351" t="n"/>
      <c r="B215" s="352" t="n"/>
      <c r="C215" s="336" t="n"/>
      <c r="D215" s="336" t="n"/>
      <c r="E215" s="336" t="n"/>
      <c r="F215" s="336" t="n"/>
      <c r="G215" s="336" t="n"/>
      <c r="H215" s="336" t="n"/>
      <c r="I215" s="336" t="n"/>
      <c r="J215" s="353" t="n"/>
      <c r="K215" s="336" t="n"/>
      <c r="L215" s="336" t="n"/>
      <c r="M215" s="349" t="n"/>
      <c r="N215" s="350" t="n"/>
      <c r="O215" s="350" t="n"/>
      <c r="P215" s="350" t="n"/>
      <c r="Q215" s="350" t="n"/>
      <c r="R215" s="350" t="n"/>
      <c r="S215" s="350" t="n"/>
      <c r="T215" s="350" t="n"/>
    </row>
    <row r="216" ht="15.75" customHeight="1" s="279">
      <c r="A216" s="351" t="n"/>
      <c r="B216" s="352" t="n"/>
      <c r="C216" s="336" t="n"/>
      <c r="D216" s="336" t="n"/>
      <c r="E216" s="336" t="n"/>
      <c r="F216" s="336" t="n"/>
      <c r="G216" s="336" t="n"/>
      <c r="H216" s="336" t="n"/>
      <c r="I216" s="336" t="n"/>
      <c r="J216" s="353" t="n"/>
      <c r="K216" s="336" t="n"/>
      <c r="L216" s="336" t="n"/>
      <c r="M216" s="349" t="n"/>
      <c r="N216" s="350" t="n"/>
      <c r="O216" s="350" t="n"/>
      <c r="P216" s="350" t="n"/>
      <c r="Q216" s="350" t="n"/>
      <c r="R216" s="350" t="n"/>
      <c r="S216" s="350" t="n"/>
      <c r="T216" s="350" t="n"/>
    </row>
    <row r="217" ht="15.75" customHeight="1" s="279">
      <c r="A217" s="340" t="n"/>
      <c r="B217" s="340" t="n"/>
      <c r="C217" s="336" t="n"/>
      <c r="D217" s="336" t="n"/>
      <c r="E217" s="336" t="n"/>
      <c r="F217" s="336" t="n"/>
      <c r="G217" s="336" t="n"/>
      <c r="H217" s="336" t="n"/>
      <c r="I217" s="336" t="n"/>
      <c r="J217" s="353" t="n"/>
      <c r="K217" s="336" t="n"/>
      <c r="L217" s="336" t="n"/>
      <c r="M217" s="349" t="n"/>
      <c r="N217" s="350" t="n"/>
      <c r="O217" s="350" t="n"/>
      <c r="P217" s="350" t="n"/>
      <c r="Q217" s="350" t="n"/>
      <c r="R217" s="350" t="n"/>
      <c r="S217" s="350" t="n"/>
      <c r="T217" s="350" t="n"/>
    </row>
    <row r="218" ht="15.75" customHeight="1" s="279">
      <c r="A218" s="340" t="n"/>
      <c r="B218" s="340" t="n"/>
      <c r="C218" s="336" t="n"/>
      <c r="D218" s="336" t="n"/>
      <c r="E218" s="336" t="n"/>
      <c r="F218" s="336" t="n"/>
      <c r="G218" s="336" t="n"/>
      <c r="H218" s="336" t="n"/>
      <c r="I218" s="336" t="n"/>
      <c r="J218" s="353" t="n"/>
      <c r="K218" s="336" t="n"/>
      <c r="L218" s="336" t="n"/>
      <c r="M218" s="349" t="n"/>
      <c r="N218" s="350" t="n"/>
      <c r="O218" s="350" t="n"/>
      <c r="P218" s="350" t="n"/>
      <c r="Q218" s="350" t="n"/>
      <c r="R218" s="350" t="n"/>
      <c r="S218" s="350" t="n"/>
      <c r="T218" s="350" t="n"/>
    </row>
    <row r="219" ht="15.75" customHeight="1" s="279">
      <c r="A219" s="340" t="n"/>
      <c r="B219" s="340" t="n"/>
      <c r="C219" s="336" t="n"/>
      <c r="D219" s="336" t="n"/>
      <c r="E219" s="336" t="n"/>
      <c r="F219" s="336" t="n"/>
      <c r="G219" s="336" t="n"/>
      <c r="H219" s="336" t="n"/>
      <c r="I219" s="336" t="n"/>
      <c r="J219" s="353" t="n"/>
      <c r="K219" s="336" t="n"/>
      <c r="L219" s="336" t="n"/>
      <c r="M219" s="349" t="n"/>
      <c r="N219" s="350" t="n"/>
      <c r="O219" s="350" t="n"/>
      <c r="P219" s="350" t="n"/>
      <c r="Q219" s="350" t="n"/>
      <c r="R219" s="350" t="n"/>
      <c r="S219" s="350" t="n"/>
      <c r="T219" s="350" t="n"/>
    </row>
    <row r="220" ht="15.75" customHeight="1" s="279">
      <c r="A220" s="340" t="n"/>
      <c r="B220" s="340" t="n"/>
      <c r="C220" s="336" t="n"/>
      <c r="D220" s="336" t="n"/>
      <c r="E220" s="336" t="n"/>
      <c r="F220" s="336" t="n"/>
      <c r="G220" s="336" t="n"/>
      <c r="H220" s="336" t="n"/>
      <c r="I220" s="336" t="n"/>
      <c r="J220" s="353" t="n"/>
      <c r="K220" s="336" t="n"/>
      <c r="L220" s="336" t="n"/>
      <c r="M220" s="349" t="n"/>
      <c r="N220" s="350" t="n"/>
      <c r="O220" s="350" t="n"/>
      <c r="P220" s="350" t="n"/>
      <c r="Q220" s="350" t="n"/>
      <c r="R220" s="350" t="n"/>
      <c r="S220" s="350" t="n"/>
      <c r="T220" s="350" t="n"/>
    </row>
    <row r="221" ht="15.75" customHeight="1" s="279">
      <c r="A221" s="340" t="n"/>
      <c r="B221" s="340" t="n"/>
      <c r="C221" s="336" t="n"/>
      <c r="D221" s="336" t="n"/>
      <c r="E221" s="336" t="n"/>
      <c r="F221" s="336" t="n"/>
      <c r="G221" s="336" t="n"/>
      <c r="H221" s="336" t="n"/>
      <c r="I221" s="336" t="n"/>
      <c r="J221" s="353" t="n"/>
      <c r="K221" s="336" t="n"/>
      <c r="L221" s="336" t="n"/>
      <c r="M221" s="349" t="n"/>
      <c r="N221" s="350" t="n"/>
      <c r="O221" s="350" t="n"/>
      <c r="P221" s="350" t="n"/>
      <c r="Q221" s="350" t="n"/>
      <c r="R221" s="350" t="n"/>
      <c r="S221" s="350" t="n"/>
      <c r="T221" s="350" t="n"/>
    </row>
    <row r="222" ht="15.75" customHeight="1" s="279">
      <c r="A222" s="340" t="n"/>
      <c r="B222" s="340" t="n"/>
      <c r="C222" s="336" t="n"/>
      <c r="D222" s="336" t="n"/>
      <c r="E222" s="336" t="n"/>
      <c r="F222" s="336" t="n"/>
      <c r="G222" s="336" t="n"/>
      <c r="H222" s="336" t="n"/>
      <c r="I222" s="336" t="n"/>
      <c r="J222" s="353" t="n"/>
      <c r="K222" s="336" t="n"/>
      <c r="L222" s="336" t="n"/>
      <c r="M222" s="349" t="n"/>
      <c r="N222" s="350" t="n"/>
      <c r="O222" s="350" t="n"/>
      <c r="P222" s="350" t="n"/>
      <c r="Q222" s="350" t="n"/>
      <c r="R222" s="350" t="n"/>
      <c r="S222" s="350" t="n"/>
      <c r="T222" s="350" t="n"/>
    </row>
    <row r="223" ht="15.75" customHeight="1" s="279">
      <c r="A223" s="340" t="n"/>
      <c r="B223" s="340" t="n"/>
      <c r="C223" s="336" t="n"/>
      <c r="D223" s="336" t="n"/>
      <c r="E223" s="336" t="n"/>
      <c r="F223" s="336" t="n"/>
      <c r="G223" s="336" t="n"/>
      <c r="H223" s="336" t="n"/>
      <c r="I223" s="336" t="n"/>
      <c r="J223" s="353" t="n"/>
      <c r="K223" s="336" t="n"/>
      <c r="L223" s="336" t="n"/>
      <c r="M223" s="349" t="n"/>
      <c r="N223" s="350" t="n"/>
      <c r="O223" s="350" t="n"/>
      <c r="P223" s="350" t="n"/>
      <c r="Q223" s="350" t="n"/>
      <c r="R223" s="350" t="n"/>
      <c r="S223" s="350" t="n"/>
      <c r="T223" s="350" t="n"/>
    </row>
    <row r="224" ht="15.75" customHeight="1" s="279">
      <c r="A224" s="340" t="n"/>
      <c r="B224" s="340" t="n"/>
      <c r="C224" s="336" t="n"/>
      <c r="D224" s="336" t="n"/>
      <c r="E224" s="336" t="n"/>
      <c r="F224" s="336" t="n"/>
      <c r="G224" s="336" t="n"/>
      <c r="H224" s="336" t="n"/>
      <c r="I224" s="336" t="n"/>
      <c r="J224" s="353" t="n"/>
      <c r="K224" s="336" t="n"/>
      <c r="L224" s="336" t="n"/>
      <c r="M224" s="349" t="n"/>
      <c r="N224" s="350" t="n"/>
      <c r="O224" s="350" t="n"/>
      <c r="P224" s="350" t="n"/>
      <c r="Q224" s="350" t="n"/>
      <c r="R224" s="350" t="n"/>
      <c r="S224" s="350" t="n"/>
      <c r="T224" s="350" t="n"/>
    </row>
    <row r="225" ht="15.75" customHeight="1" s="279">
      <c r="A225" s="340" t="n"/>
      <c r="B225" s="340" t="n"/>
      <c r="C225" s="336" t="n"/>
      <c r="D225" s="336" t="n"/>
      <c r="E225" s="336" t="n"/>
      <c r="F225" s="336" t="n"/>
      <c r="G225" s="336" t="n"/>
      <c r="H225" s="336" t="n"/>
      <c r="I225" s="336" t="n"/>
      <c r="J225" s="353" t="n"/>
      <c r="K225" s="336" t="n"/>
      <c r="L225" s="336" t="n"/>
      <c r="M225" s="349" t="n"/>
      <c r="N225" s="350" t="n"/>
      <c r="O225" s="350" t="n"/>
      <c r="P225" s="350" t="n"/>
      <c r="Q225" s="350" t="n"/>
      <c r="R225" s="350" t="n"/>
      <c r="S225" s="350" t="n"/>
      <c r="T225" s="350" t="n"/>
    </row>
    <row r="226" ht="15.75" customHeight="1" s="279">
      <c r="A226" s="340" t="n"/>
      <c r="B226" s="340" t="n"/>
      <c r="C226" s="336" t="n"/>
      <c r="D226" s="336" t="n"/>
      <c r="E226" s="336" t="n"/>
      <c r="F226" s="336" t="n"/>
      <c r="G226" s="336" t="n"/>
      <c r="H226" s="336" t="n"/>
      <c r="I226" s="336" t="n"/>
      <c r="J226" s="353" t="n"/>
      <c r="K226" s="336" t="n"/>
      <c r="L226" s="336" t="n"/>
      <c r="M226" s="349" t="n"/>
      <c r="N226" s="350" t="n"/>
      <c r="O226" s="350" t="n"/>
      <c r="P226" s="350" t="n"/>
      <c r="Q226" s="350" t="n"/>
      <c r="R226" s="350" t="n"/>
      <c r="S226" s="350" t="n"/>
      <c r="T226" s="350" t="n"/>
    </row>
    <row r="227" ht="15.75" customHeight="1" s="279">
      <c r="A227" s="340" t="n"/>
      <c r="B227" s="340" t="n"/>
      <c r="C227" s="336" t="n"/>
      <c r="D227" s="336" t="n"/>
      <c r="E227" s="336" t="n"/>
      <c r="F227" s="336" t="n"/>
      <c r="G227" s="336" t="n"/>
      <c r="H227" s="336" t="n"/>
      <c r="I227" s="336" t="n"/>
      <c r="J227" s="353" t="n"/>
      <c r="K227" s="336" t="n"/>
      <c r="L227" s="336" t="n"/>
      <c r="M227" s="349" t="n"/>
      <c r="N227" s="350" t="n"/>
      <c r="O227" s="350" t="n"/>
      <c r="P227" s="350" t="n"/>
      <c r="Q227" s="350" t="n"/>
      <c r="R227" s="350" t="n"/>
      <c r="S227" s="350" t="n"/>
      <c r="T227" s="350" t="n"/>
    </row>
    <row r="228" ht="15.75" customHeight="1" s="279">
      <c r="A228" s="351" t="n"/>
      <c r="B228" s="352" t="n"/>
      <c r="C228" s="336" t="n"/>
      <c r="D228" s="336" t="n"/>
      <c r="E228" s="336" t="n"/>
      <c r="F228" s="336" t="n"/>
      <c r="G228" s="336" t="n"/>
      <c r="H228" s="336" t="n"/>
      <c r="I228" s="336" t="n"/>
      <c r="J228" s="353" t="n"/>
      <c r="K228" s="336" t="n"/>
      <c r="L228" s="336" t="n"/>
      <c r="M228" s="349" t="n"/>
      <c r="N228" s="350" t="n"/>
      <c r="O228" s="350" t="n"/>
      <c r="P228" s="350" t="n"/>
      <c r="Q228" s="350" t="n"/>
      <c r="R228" s="350" t="n"/>
      <c r="S228" s="350" t="n"/>
      <c r="T228" s="350" t="n"/>
    </row>
    <row r="229" ht="15.75" customHeight="1" s="279">
      <c r="A229" s="340" t="n"/>
      <c r="B229" s="340" t="n"/>
      <c r="C229" s="336" t="n"/>
      <c r="D229" s="336" t="n"/>
      <c r="E229" s="336" t="n"/>
      <c r="F229" s="336" t="n"/>
      <c r="G229" s="336" t="n"/>
      <c r="H229" s="336" t="n"/>
      <c r="I229" s="336" t="n"/>
      <c r="J229" s="353" t="n"/>
      <c r="K229" s="336" t="n"/>
      <c r="L229" s="336" t="n"/>
      <c r="M229" s="349" t="n"/>
      <c r="N229" s="350" t="n"/>
      <c r="O229" s="350" t="n"/>
      <c r="P229" s="350" t="n"/>
      <c r="Q229" s="350" t="n"/>
      <c r="R229" s="350" t="n"/>
      <c r="S229" s="350" t="n"/>
      <c r="T229" s="350" t="n"/>
    </row>
    <row r="230" ht="15.75" customHeight="1" s="279">
      <c r="A230" s="340" t="n"/>
      <c r="B230" s="340" t="n"/>
      <c r="C230" s="336" t="n"/>
      <c r="D230" s="336" t="n"/>
      <c r="E230" s="336" t="n"/>
      <c r="F230" s="336" t="n"/>
      <c r="G230" s="336" t="n"/>
      <c r="H230" s="336" t="n"/>
      <c r="I230" s="336" t="n"/>
      <c r="J230" s="353" t="n"/>
      <c r="K230" s="336" t="n"/>
      <c r="L230" s="336" t="n"/>
      <c r="M230" s="349" t="n"/>
      <c r="N230" s="350" t="n"/>
      <c r="O230" s="350" t="n"/>
      <c r="P230" s="350" t="n"/>
      <c r="Q230" s="350" t="n"/>
      <c r="R230" s="350" t="n"/>
      <c r="S230" s="350" t="n"/>
      <c r="T230" s="350" t="n"/>
    </row>
    <row r="231" ht="15.75" customHeight="1" s="279">
      <c r="A231" s="340" t="n"/>
      <c r="B231" s="340" t="n"/>
      <c r="C231" s="336" t="n"/>
      <c r="D231" s="336" t="n"/>
      <c r="E231" s="336" t="n"/>
      <c r="F231" s="336" t="n"/>
      <c r="G231" s="336" t="n"/>
      <c r="H231" s="336" t="n"/>
      <c r="I231" s="336" t="n"/>
      <c r="J231" s="353" t="n"/>
      <c r="K231" s="336" t="n"/>
      <c r="L231" s="336" t="n"/>
      <c r="M231" s="349" t="n"/>
      <c r="N231" s="350" t="n"/>
      <c r="O231" s="350" t="n"/>
      <c r="P231" s="350" t="n"/>
      <c r="Q231" s="350" t="n"/>
      <c r="R231" s="350" t="n"/>
      <c r="S231" s="350" t="n"/>
      <c r="T231" s="350" t="n"/>
    </row>
    <row r="232" ht="15.75" customHeight="1" s="279">
      <c r="A232" s="340" t="n"/>
      <c r="B232" s="340" t="n"/>
      <c r="C232" s="336" t="n"/>
      <c r="D232" s="336" t="n"/>
      <c r="E232" s="336" t="n"/>
      <c r="F232" s="336" t="n"/>
      <c r="G232" s="336" t="n"/>
      <c r="H232" s="336" t="n"/>
      <c r="I232" s="336" t="n"/>
      <c r="J232" s="353" t="n"/>
      <c r="K232" s="336" t="n"/>
      <c r="L232" s="336" t="n"/>
      <c r="M232" s="349" t="n"/>
      <c r="N232" s="350" t="n"/>
      <c r="O232" s="350" t="n"/>
      <c r="P232" s="350" t="n"/>
      <c r="Q232" s="350" t="n"/>
      <c r="R232" s="350" t="n"/>
      <c r="S232" s="350" t="n"/>
      <c r="T232" s="350" t="n"/>
    </row>
    <row r="233" ht="15.75" customHeight="1" s="279">
      <c r="A233" s="278" t="n"/>
      <c r="B233" s="278" t="n"/>
      <c r="C233" s="278" t="n"/>
      <c r="D233" s="278" t="n"/>
      <c r="E233" s="278" t="n"/>
      <c r="F233" s="278" t="n"/>
      <c r="G233" s="278" t="n"/>
      <c r="H233" s="278" t="n"/>
      <c r="I233" s="278" t="n"/>
      <c r="J233" s="278" t="n"/>
      <c r="K233" s="278" t="n"/>
      <c r="L233" s="278" t="n"/>
      <c r="M233" s="278" t="n"/>
    </row>
  </sheetData>
  <mergeCells count="2">
    <mergeCell ref="D104:G104"/>
    <mergeCell ref="J104:M104"/>
  </mergeCells>
  <conditionalFormatting sqref="C3:C73 C77:C232">
    <cfRule type="cellIs" rank="0" priority="2" equalAverage="0" operator="equal" aboveAverage="0" dxfId="0" text="" percent="0" bottom="0">
      <formula>"AC"</formula>
    </cfRule>
    <cfRule type="containsText" rank="0" priority="3" equalAverage="0" operator="containsText" aboveAverage="0" dxfId="1" text="WA" percent="0" bottom="0">
      <formula>NOT(ISERROR(SEARCH("WA",C3)))</formula>
    </cfRule>
    <cfRule type="containsText" rank="0" priority="4" equalAverage="0" operator="containsText" aboveAverage="0" dxfId="1" text="WA" percent="0" bottom="0">
      <formula>NOT(ISERROR(SEARCH("WA",C3)))</formula>
    </cfRule>
    <cfRule type="containsText" rank="0" priority="5" equalAverage="0" operator="containsText" aboveAverage="0" dxfId="2" text="TLE" percent="0" bottom="0">
      <formula>NOT(ISERROR(SEARCH("TLE",C3)))</formula>
    </cfRule>
    <cfRule type="containsText" rank="0" priority="6" equalAverage="0" operator="containsText" aboveAverage="0" dxfId="2" text="TLE" percent="0" bottom="0">
      <formula>NOT(ISERROR(SEARCH("TLE",C3)))</formula>
    </cfRule>
    <cfRule type="containsText" rank="0" priority="7" equalAverage="0" operator="containsText" aboveAverage="0" dxfId="3" text="RTE" percent="0" bottom="0">
      <formula>NOT(ISERROR(SEARCH("RTE",C3)))</formula>
    </cfRule>
    <cfRule type="containsText" rank="0" priority="8" equalAverage="0" operator="containsText" aboveAverage="0" dxfId="3" text="RTE" percent="0" bottom="0">
      <formula>NOT(ISERROR(SEARCH("RTE",C3)))</formula>
    </cfRule>
    <cfRule type="containsText" rank="0" priority="9" equalAverage="0" operator="containsText" aboveAverage="0" dxfId="4" text="CS" percent="0" bottom="0">
      <formula>NOT(ISERROR(SEARCH("CS",C3)))</formula>
    </cfRule>
    <cfRule type="containsText" rank="0" priority="10" equalAverage="0" operator="containsText" aboveAverage="0" dxfId="4" text="CS" percent="0" bottom="0">
      <formula>NOT(ISERROR(SEARCH("CS",C3)))</formula>
    </cfRule>
  </conditionalFormatting>
  <conditionalFormatting sqref="K3:K46 K55:K73 K77:K102 K106:K232">
    <cfRule type="cellIs" rank="0" priority="11" equalAverage="0" operator="equal" aboveAverage="0" dxfId="5" text="" percent="0" bottom="0">
      <formula>"No"</formula>
    </cfRule>
    <cfRule type="cellIs" rank="0" priority="12" equalAverage="0" operator="equal" aboveAverage="0" dxfId="5" text="" percent="0" bottom="0">
      <formula>"no"</formula>
    </cfRule>
    <cfRule type="cellIs" rank="0" priority="13" equalAverage="0" operator="equal" aboveAverage="0" dxfId="5" text="" percent="0" bottom="0">
      <formula>"NO"</formula>
    </cfRule>
  </conditionalFormatting>
  <conditionalFormatting sqref="C74">
    <cfRule type="cellIs" rank="0" priority="14" equalAverage="0" operator="equal" aboveAverage="0" dxfId="0" text="" percent="0" bottom="0">
      <formula>"AC"</formula>
    </cfRule>
    <cfRule type="containsText" rank="0" priority="15" equalAverage="0" operator="containsText" aboveAverage="0" dxfId="1" text="WA" percent="0" bottom="0">
      <formula>NOT(ISERROR(SEARCH("WA",C74)))</formula>
    </cfRule>
    <cfRule type="containsText" rank="0" priority="16" equalAverage="0" operator="containsText" aboveAverage="0" dxfId="1" text="WA" percent="0" bottom="0">
      <formula>NOT(ISERROR(SEARCH("WA",C74)))</formula>
    </cfRule>
    <cfRule type="containsText" rank="0" priority="17" equalAverage="0" operator="containsText" aboveAverage="0" dxfId="2" text="TLE" percent="0" bottom="0">
      <formula>NOT(ISERROR(SEARCH("TLE",C74)))</formula>
    </cfRule>
    <cfRule type="containsText" rank="0" priority="18" equalAverage="0" operator="containsText" aboveAverage="0" dxfId="2" text="TLE" percent="0" bottom="0">
      <formula>NOT(ISERROR(SEARCH("TLE",C74)))</formula>
    </cfRule>
    <cfRule type="containsText" rank="0" priority="19" equalAverage="0" operator="containsText" aboveAverage="0" dxfId="3" text="RTE" percent="0" bottom="0">
      <formula>NOT(ISERROR(SEARCH("RTE",C74)))</formula>
    </cfRule>
    <cfRule type="containsText" rank="0" priority="20" equalAverage="0" operator="containsText" aboveAverage="0" dxfId="3" text="RTE" percent="0" bottom="0">
      <formula>NOT(ISERROR(SEARCH("RTE",C74)))</formula>
    </cfRule>
    <cfRule type="containsText" rank="0" priority="21" equalAverage="0" operator="containsText" aboveAverage="0" dxfId="4" text="CS" percent="0" bottom="0">
      <formula>NOT(ISERROR(SEARCH("CS",C74)))</formula>
    </cfRule>
    <cfRule type="containsText" rank="0" priority="22" equalAverage="0" operator="containsText" aboveAverage="0" dxfId="4" text="CS" percent="0" bottom="0">
      <formula>NOT(ISERROR(SEARCH("CS",C74)))</formula>
    </cfRule>
  </conditionalFormatting>
  <conditionalFormatting sqref="K74">
    <cfRule type="cellIs" rank="0" priority="23" equalAverage="0" operator="equal" aboveAverage="0" dxfId="5" text="" percent="0" bottom="0">
      <formula>"No"</formula>
    </cfRule>
    <cfRule type="cellIs" rank="0" priority="24" equalAverage="0" operator="equal" aboveAverage="0" dxfId="5" text="" percent="0" bottom="0">
      <formula>"no"</formula>
    </cfRule>
    <cfRule type="cellIs" rank="0" priority="25" equalAverage="0" operator="equal" aboveAverage="0" dxfId="5" text="" percent="0" bottom="0">
      <formula>"NO"</formula>
    </cfRule>
  </conditionalFormatting>
  <conditionalFormatting sqref="C75:C93">
    <cfRule type="cellIs" rank="0" priority="26" equalAverage="0" operator="equal" aboveAverage="0" dxfId="0" text="" percent="0" bottom="0">
      <formula>"AC"</formula>
    </cfRule>
    <cfRule type="containsText" rank="0" priority="27" equalAverage="0" operator="containsText" aboveAverage="0" dxfId="1" text="WA" percent="0" bottom="0">
      <formula>NOT(ISERROR(SEARCH("WA",C75)))</formula>
    </cfRule>
    <cfRule type="containsText" rank="0" priority="28" equalAverage="0" operator="containsText" aboveAverage="0" dxfId="1" text="WA" percent="0" bottom="0">
      <formula>NOT(ISERROR(SEARCH("WA",C75)))</formula>
    </cfRule>
    <cfRule type="containsText" rank="0" priority="29" equalAverage="0" operator="containsText" aboveAverage="0" dxfId="2" text="TLE" percent="0" bottom="0">
      <formula>NOT(ISERROR(SEARCH("TLE",C75)))</formula>
    </cfRule>
    <cfRule type="containsText" rank="0" priority="30" equalAverage="0" operator="containsText" aboveAverage="0" dxfId="2" text="TLE" percent="0" bottom="0">
      <formula>NOT(ISERROR(SEARCH("TLE",C75)))</formula>
    </cfRule>
    <cfRule type="containsText" rank="0" priority="31" equalAverage="0" operator="containsText" aboveAverage="0" dxfId="3" text="RTE" percent="0" bottom="0">
      <formula>NOT(ISERROR(SEARCH("RTE",C75)))</formula>
    </cfRule>
    <cfRule type="containsText" rank="0" priority="32" equalAverage="0" operator="containsText" aboveAverage="0" dxfId="3" text="RTE" percent="0" bottom="0">
      <formula>NOT(ISERROR(SEARCH("RTE",C75)))</formula>
    </cfRule>
    <cfRule type="containsText" rank="0" priority="33" equalAverage="0" operator="containsText" aboveAverage="0" dxfId="4" text="CS" percent="0" bottom="0">
      <formula>NOT(ISERROR(SEARCH("CS",C75)))</formula>
    </cfRule>
    <cfRule type="containsText" rank="0" priority="34" equalAverage="0" operator="containsText" aboveAverage="0" dxfId="4" text="CS" percent="0" bottom="0">
      <formula>NOT(ISERROR(SEARCH("CS",C75)))</formula>
    </cfRule>
  </conditionalFormatting>
  <conditionalFormatting sqref="K75:K93">
    <cfRule type="cellIs" rank="0" priority="35" equalAverage="0" operator="equal" aboveAverage="0" dxfId="5" text="" percent="0" bottom="0">
      <formula>"No"</formula>
    </cfRule>
    <cfRule type="cellIs" rank="0" priority="36" equalAverage="0" operator="equal" aboveAverage="0" dxfId="5" text="" percent="0" bottom="0">
      <formula>"no"</formula>
    </cfRule>
    <cfRule type="cellIs" rank="0" priority="37" equalAverage="0" operator="equal" aboveAverage="0" dxfId="5" text="" percent="0" bottom="0">
      <formula>"NO"</formula>
    </cfRule>
  </conditionalFormatting>
  <hyperlinks>
    <hyperlink xmlns:r="http://schemas.openxmlformats.org/officeDocument/2006/relationships" ref="B70" display="https://cses.fi/problemset/task/1667/" r:id="rId1"/>
    <hyperlink xmlns:r="http://schemas.openxmlformats.org/officeDocument/2006/relationships" ref="B71" display="https://codeforces.com/contest/242/problem/C" r:id="rId2"/>
    <hyperlink xmlns:r="http://schemas.openxmlformats.org/officeDocument/2006/relationships" ref="B72" display="https://codeforces.com/contest/378/problem/C" r:id="rId3"/>
    <hyperlink xmlns:r="http://schemas.openxmlformats.org/officeDocument/2006/relationships" ref="B74" display="https://codeforces.com/group/o09Gu2FpOx/contest/542182/problem/F" r:id="rId4"/>
  </hyperlinks>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T236"/>
  <sheetViews>
    <sheetView showFormulas="0" showGridLines="1" showRowColHeaders="1" showZeros="1" rightToLeft="0" tabSelected="0"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N17" activeCellId="0" sqref="N17"/>
    </sheetView>
  </sheetViews>
  <sheetFormatPr baseColWidth="8" defaultColWidth="15.12890625" defaultRowHeight="15.75" zeroHeight="0" outlineLevelRow="0"/>
  <cols>
    <col width="11.75" customWidth="1" style="278" min="1" max="1"/>
    <col width="13.38" customWidth="1" style="278" min="2" max="2"/>
    <col width="6" customWidth="1" style="278" min="3" max="3"/>
    <col width="7.11" customWidth="1" style="278" min="4" max="4"/>
    <col width="7.38" customWidth="1" style="278" min="5" max="5"/>
    <col width="7.63" customWidth="1" style="278" min="6" max="6"/>
    <col width="8.75" customWidth="1" style="278" min="7" max="7"/>
    <col width="7.5" customWidth="1" style="278" min="8" max="9"/>
    <col width="8.75" customWidth="1" style="278" min="10" max="11"/>
    <col width="11" customWidth="1" style="278" min="12" max="12"/>
    <col width="65.5" customWidth="1" style="278" min="13" max="20"/>
  </cols>
  <sheetData>
    <row r="1" ht="45.75" customHeight="1" s="279">
      <c r="A1" s="399" t="n"/>
      <c r="B1" s="400" t="inlineStr">
        <is>
          <t>Problem Code</t>
        </is>
      </c>
      <c r="C1" s="401" t="inlineStr">
        <is>
          <t>Status</t>
        </is>
      </c>
      <c r="D1" s="401" t="inlineStr">
        <is>
          <t>Submit Count</t>
        </is>
      </c>
      <c r="E1" s="401" t="inlineStr">
        <is>
          <t>Reading Time(m)</t>
        </is>
      </c>
      <c r="F1" s="401" t="inlineStr">
        <is>
          <t>Thinking Time(m)</t>
        </is>
      </c>
      <c r="G1" s="401" t="inlineStr">
        <is>
          <t>Coding Time(m)</t>
        </is>
      </c>
      <c r="H1" s="401" t="inlineStr">
        <is>
          <t>Debug Time(m)</t>
        </is>
      </c>
      <c r="I1" s="401" t="inlineStr">
        <is>
          <t>Total Time(m)</t>
        </is>
      </c>
      <c r="J1" s="401" t="inlineStr">
        <is>
          <t>Problem Level /10</t>
        </is>
      </c>
      <c r="K1" s="401" t="inlineStr">
        <is>
          <t>By yourself?</t>
        </is>
      </c>
      <c r="L1" s="401" t="inlineStr">
        <is>
          <t>Category</t>
        </is>
      </c>
      <c r="M1" s="402" t="inlineStr">
        <is>
          <t>1-2 line Comments
About your approach</t>
        </is>
      </c>
      <c r="N1" s="402" t="n"/>
      <c r="O1" s="402" t="n"/>
      <c r="P1" s="402" t="n"/>
      <c r="Q1" s="402" t="n"/>
      <c r="R1" s="402" t="n"/>
      <c r="S1" s="402" t="n"/>
      <c r="T1" s="402" t="n"/>
    </row>
    <row r="2" ht="23.25" customHeight="1" s="279">
      <c r="A2" s="403" t="n"/>
      <c r="B2" s="404" t="inlineStr">
        <is>
          <t>AC Averages =&gt;</t>
        </is>
      </c>
      <c r="C2" s="405">
        <f>COUNTIF(C3:C10506, "AC")</f>
        <v/>
      </c>
      <c r="D2" s="405">
        <f>ROUND(SUMPRODUCT(D3:D10506,INT(eq(C3:C10506, "AC")))/MAX(1, C2),1)</f>
        <v/>
      </c>
      <c r="E2" s="405">
        <f>ROUND(SUMPRODUCT(E3:E10528,INT(eq(C3:C10528, "AC")))/MAX(1, C2),0)</f>
        <v/>
      </c>
      <c r="F2" s="405">
        <f>ROUND(SUMPRODUCT(F3:F10531,INT(eq(C3:C10531, "AC")))/MAX(1, C2),0)</f>
        <v/>
      </c>
      <c r="G2" s="405">
        <f>ROUND(SUMPRODUCT(G3:G10531,INT(eq(C3:C10531, "AC")))/MAX(1, C2),0)</f>
        <v/>
      </c>
      <c r="H2" s="405">
        <f>ROUND(SUMPRODUCT(H3:H10531,INT(eq(C3:C10531, "AC")))/MAX(1, C2),0)</f>
        <v/>
      </c>
      <c r="I2" s="405">
        <f>ROUND(SUMPRODUCT(I3:I10503,INT(eq(C3:C10503, "AC")))/MAX(1, C2),0)</f>
        <v/>
      </c>
      <c r="J2" s="405">
        <f>ROUND(SUMPRODUCT(J3:J10501,INT(eq(C3:C10501, "AC")))/MAX(1, C2),1)</f>
        <v/>
      </c>
      <c r="K2" s="405">
        <f>SUMPRODUCT(eq(K3:K10506, "YES"),INT(eq(C3:C10531, "AC")))</f>
        <v/>
      </c>
      <c r="L2" s="405">
        <f>IFERROR(__xludf.dummyfunction("COUNTA(FILTER(C3:C9998, NOT(REGEXMATCH(C3:C9998, ""AC""))))"),3)</f>
        <v/>
      </c>
      <c r="M2" s="406">
        <f>IFERROR(__xludf.dummyfunction("COUNTA(FILTER(C3:C9992, NOT(REGEXMATCH(C3:C9992, ""AC""))))"),3)</f>
        <v/>
      </c>
      <c r="N2" s="406" t="n"/>
      <c r="O2" s="406" t="n"/>
      <c r="P2" s="406" t="n"/>
      <c r="Q2" s="406" t="n"/>
      <c r="R2" s="406" t="n"/>
      <c r="S2" s="406" t="n"/>
      <c r="T2" s="406" t="n"/>
    </row>
    <row r="3" ht="15.75" customHeight="1" s="279">
      <c r="A3" s="407" t="inlineStr">
        <is>
          <t>Vanya and Fence</t>
        </is>
      </c>
      <c r="B3" s="408">
        <f>HYPERLINK("http://codeforces.com/contest/677/problem/A","CF677-D2-A")</f>
        <v/>
      </c>
      <c r="C3" s="404" t="inlineStr">
        <is>
          <t>AC</t>
        </is>
      </c>
      <c r="D3" s="404" t="n">
        <v>1</v>
      </c>
      <c r="E3" s="404" t="n">
        <v>1</v>
      </c>
      <c r="F3" s="404" t="n">
        <v>0.5</v>
      </c>
      <c r="G3" s="404" t="n">
        <v>1</v>
      </c>
      <c r="H3" s="404" t="n">
        <v>0</v>
      </c>
      <c r="I3" s="404">
        <f>SUM(E3:H3)</f>
        <v/>
      </c>
      <c r="J3" s="404" t="n">
        <v>1</v>
      </c>
      <c r="K3" s="404" t="inlineStr">
        <is>
          <t>YES</t>
        </is>
      </c>
      <c r="L3" s="409" t="inlineStr">
        <is>
          <t>stimulation</t>
        </is>
      </c>
      <c r="M3" s="410" t="inlineStr">
        <is>
          <t xml:space="preserve">very easy </t>
        </is>
      </c>
      <c r="N3" s="410" t="n"/>
      <c r="O3" s="410" t="n"/>
      <c r="P3" s="410" t="n"/>
      <c r="Q3" s="410" t="n"/>
      <c r="R3" s="410" t="n"/>
      <c r="S3" s="410" t="n"/>
      <c r="T3" s="410" t="n"/>
    </row>
    <row r="4" ht="30.75" customHeight="1" s="279">
      <c r="A4" s="407" t="inlineStr">
        <is>
          <t>Anton and Danik</t>
        </is>
      </c>
      <c r="B4" s="408">
        <f>HYPERLINK("http://codeforces.com/contest/734/problem/A","CF734-D2-A")</f>
        <v/>
      </c>
      <c r="C4" s="404" t="inlineStr">
        <is>
          <t>AC</t>
        </is>
      </c>
      <c r="D4" s="404" t="n">
        <v>1</v>
      </c>
      <c r="E4" s="404" t="n">
        <v>0.5</v>
      </c>
      <c r="F4" s="404" t="n">
        <v>0</v>
      </c>
      <c r="G4" s="404" t="n">
        <v>2</v>
      </c>
      <c r="H4" s="404" t="n">
        <v>0</v>
      </c>
      <c r="I4" s="404">
        <f>SUM(E4:H4)</f>
        <v/>
      </c>
      <c r="J4" s="404" t="n">
        <v>1</v>
      </c>
      <c r="K4" s="411" t="inlineStr">
        <is>
          <t>YES</t>
        </is>
      </c>
      <c r="L4" s="411" t="inlineStr">
        <is>
          <t>stimulation</t>
        </is>
      </c>
      <c r="M4" s="412" t="inlineStr">
        <is>
          <t xml:space="preserve">very easy  </t>
        </is>
      </c>
      <c r="N4" s="412" t="n"/>
      <c r="O4" s="412" t="n"/>
      <c r="P4" s="412" t="n"/>
      <c r="Q4" s="412" t="n"/>
      <c r="R4" s="412" t="n"/>
      <c r="S4" s="412" t="n"/>
      <c r="T4" s="412" t="n"/>
    </row>
    <row r="5" ht="15.75" customHeight="1" s="279">
      <c r="A5" s="407" t="inlineStr">
        <is>
          <t>Bear and Big Brother</t>
        </is>
      </c>
      <c r="B5" s="408">
        <f>HYPERLINK("codeforces.com/contest/791/problem/A","CF791-D2-A")</f>
        <v/>
      </c>
      <c r="C5" s="404" t="inlineStr">
        <is>
          <t>AC</t>
        </is>
      </c>
      <c r="D5" s="404" t="n">
        <v>1</v>
      </c>
      <c r="E5" s="404" t="n">
        <v>0.5</v>
      </c>
      <c r="F5" s="404" t="n">
        <v>4</v>
      </c>
      <c r="G5" s="404" t="n">
        <v>1</v>
      </c>
      <c r="H5" s="404" t="n">
        <v>0</v>
      </c>
      <c r="I5" s="404">
        <f>SUM(E5:H5)</f>
        <v/>
      </c>
      <c r="J5" s="404" t="n">
        <v>1</v>
      </c>
      <c r="K5" s="411" t="inlineStr">
        <is>
          <t>YES</t>
        </is>
      </c>
      <c r="L5" s="404" t="inlineStr">
        <is>
          <t>bf</t>
        </is>
      </c>
      <c r="M5" s="413" t="inlineStr">
        <is>
          <t xml:space="preserve">tried to solve it with log but it will be easier to brute force </t>
        </is>
      </c>
      <c r="N5" s="413" t="n"/>
      <c r="O5" s="413" t="n"/>
      <c r="P5" s="413" t="n"/>
      <c r="Q5" s="413" t="n"/>
      <c r="R5" s="413" t="n"/>
      <c r="S5" s="413" t="n"/>
      <c r="T5" s="413" t="n"/>
    </row>
    <row r="6" ht="30.75" customHeight="1" s="279">
      <c r="A6" s="407" t="inlineStr">
        <is>
          <t>Team</t>
        </is>
      </c>
      <c r="B6" s="408">
        <f>HYPERLINK("http://codeforces.com/contest/231/problem/A","CF231-D2-A")</f>
        <v/>
      </c>
      <c r="C6" s="404" t="inlineStr">
        <is>
          <t>AC</t>
        </is>
      </c>
      <c r="D6" s="404" t="n">
        <v>1</v>
      </c>
      <c r="E6" s="404" t="n">
        <v>2</v>
      </c>
      <c r="F6" s="404" t="n">
        <v>0</v>
      </c>
      <c r="G6" s="404" t="n">
        <v>1.5</v>
      </c>
      <c r="H6" s="404" t="n">
        <v>0</v>
      </c>
      <c r="I6" s="404">
        <f>SUM(E6:H6)</f>
        <v/>
      </c>
      <c r="J6" s="404" t="n">
        <v>1</v>
      </c>
      <c r="K6" s="411" t="inlineStr">
        <is>
          <t>YES</t>
        </is>
      </c>
      <c r="L6" s="411" t="inlineStr">
        <is>
          <t>stimulation</t>
        </is>
      </c>
      <c r="M6" s="413" t="inlineStr">
        <is>
          <t xml:space="preserve">skip to uva beacuse this is so easy </t>
        </is>
      </c>
      <c r="N6" s="414" t="n"/>
      <c r="O6" s="414" t="n"/>
      <c r="P6" s="414" t="n"/>
      <c r="Q6" s="414" t="n"/>
      <c r="R6" s="414" t="n"/>
      <c r="S6" s="414" t="n"/>
      <c r="T6" s="414" t="n"/>
    </row>
    <row r="7" ht="15.75" customHeight="1" s="279">
      <c r="A7" s="407" t="inlineStr">
        <is>
          <t>Beautiful Matrix</t>
        </is>
      </c>
      <c r="B7" s="408">
        <f>HYPERLINK("http://codeforces.com/contest/263/problem/A","CF263-D2-A")</f>
        <v/>
      </c>
      <c r="C7" s="404" t="n"/>
      <c r="D7" s="404" t="n"/>
      <c r="E7" s="404" t="n"/>
      <c r="F7" s="404" t="n"/>
      <c r="G7" s="404" t="n"/>
      <c r="H7" s="404" t="n"/>
      <c r="I7" s="404">
        <f>SUM(E7:H7)</f>
        <v/>
      </c>
      <c r="J7" s="404" t="n"/>
      <c r="K7" s="404" t="n"/>
      <c r="L7" s="404" t="n"/>
      <c r="M7" s="415">
        <f>HYPERLINK("https://www.youtube.com/watch?v=FU4thrvEvKg","Video Solution - Eng Samed Hajajla")</f>
        <v/>
      </c>
      <c r="N7" s="416" t="n"/>
      <c r="O7" s="416" t="n"/>
      <c r="P7" s="416" t="n"/>
      <c r="Q7" s="416" t="n"/>
      <c r="R7" s="416" t="n"/>
      <c r="S7" s="416" t="n"/>
      <c r="T7" s="416" t="n"/>
    </row>
    <row r="8" ht="15.75" customHeight="1" s="279">
      <c r="A8" s="295" t="inlineStr">
        <is>
          <t>Gravity Flip</t>
        </is>
      </c>
      <c r="B8" s="417">
        <f>HYPERLINK("http://codeforces.com/contest/405/problem/A","CF405-D2-A")</f>
        <v/>
      </c>
      <c r="C8" s="404" t="n"/>
      <c r="D8" s="404" t="n"/>
      <c r="E8" s="404" t="n"/>
      <c r="F8" s="404" t="n"/>
      <c r="G8" s="404" t="n"/>
      <c r="H8" s="404" t="n"/>
      <c r="I8" s="404">
        <f>SUM(E8:H8)</f>
        <v/>
      </c>
      <c r="J8" s="418" t="n"/>
      <c r="K8" s="404" t="n"/>
      <c r="L8" s="418" t="n"/>
      <c r="M8" s="417">
        <f>HYPERLINK("https://www.youtube.com/watch?v=HNe9QW-1MJI","Video Solution - Eng John Gamal")</f>
        <v/>
      </c>
      <c r="N8" s="417" t="n"/>
      <c r="O8" s="417" t="n"/>
      <c r="P8" s="417" t="n"/>
      <c r="Q8" s="417" t="n"/>
      <c r="R8" s="417" t="n"/>
      <c r="S8" s="417" t="n"/>
      <c r="T8" s="417" t="n"/>
    </row>
    <row r="9" ht="15.75" customHeight="1" s="279">
      <c r="A9" s="295" t="inlineStr">
        <is>
          <t>Petya and Strings</t>
        </is>
      </c>
      <c r="B9" s="417">
        <f>HYPERLINK("http://codeforces.com/contest/112/problem/A","CF112-D2-A")</f>
        <v/>
      </c>
      <c r="C9" s="404" t="n"/>
      <c r="D9" s="404" t="n"/>
      <c r="E9" s="404" t="n"/>
      <c r="F9" s="404" t="n"/>
      <c r="G9" s="404" t="n"/>
      <c r="H9" s="404" t="n"/>
      <c r="I9" s="404">
        <f>SUM(E9:H9)</f>
        <v/>
      </c>
      <c r="J9" s="418" t="n"/>
      <c r="K9" s="404" t="n"/>
      <c r="L9" s="418" t="n"/>
      <c r="M9" s="419">
        <f>HYPERLINK("https://www.youtube.com/watch?v=Sp4zWrDvGrk","Video Solution - Solver to be (Java)")</f>
        <v/>
      </c>
      <c r="N9" s="295" t="n"/>
      <c r="O9" s="295" t="n"/>
      <c r="P9" s="295" t="n"/>
      <c r="Q9" s="295" t="n"/>
      <c r="R9" s="295" t="n"/>
      <c r="S9" s="295" t="n"/>
      <c r="T9" s="295" t="n"/>
    </row>
    <row r="10" ht="15.75" customHeight="1" s="279">
      <c r="A10" s="295" t="inlineStr">
        <is>
          <t>Boy or Girl</t>
        </is>
      </c>
      <c r="B10" s="417">
        <f>HYPERLINK("http://codeforces.com/contest/236/problem/A","CF236-D2-A")</f>
        <v/>
      </c>
      <c r="C10" s="404" t="n"/>
      <c r="D10" s="404" t="n"/>
      <c r="E10" s="404" t="n"/>
      <c r="F10" s="404" t="n"/>
      <c r="G10" s="404" t="n"/>
      <c r="H10" s="404" t="n"/>
      <c r="I10" s="404">
        <f>SUM(E10:H10)</f>
        <v/>
      </c>
      <c r="J10" s="418" t="n"/>
      <c r="K10" s="404" t="n"/>
      <c r="L10" s="418" t="n"/>
      <c r="M10" s="419">
        <f>HYPERLINK("https://www.youtube.com/watch?v=AOOmuJXMyHQ","Video Solution - Solver to be (Java)")</f>
        <v/>
      </c>
      <c r="N10" s="295" t="n"/>
      <c r="O10" s="295" t="n"/>
      <c r="P10" s="295" t="n"/>
      <c r="Q10" s="295" t="n"/>
      <c r="R10" s="295" t="n"/>
      <c r="S10" s="295" t="n"/>
      <c r="T10" s="295" t="n"/>
    </row>
    <row r="11" ht="15.75" customHeight="1" s="279">
      <c r="A11" s="420" t="inlineStr">
        <is>
          <t>Word</t>
        </is>
      </c>
      <c r="B11" s="421">
        <f>HYPERLINK("http://codeforces.com/contest/59/problem/A","CF59-D2-A")</f>
        <v/>
      </c>
      <c r="C11" s="404" t="n"/>
      <c r="D11" s="404" t="n"/>
      <c r="E11" s="404" t="n"/>
      <c r="F11" s="404" t="n"/>
      <c r="G11" s="404" t="n"/>
      <c r="H11" s="404" t="n"/>
      <c r="I11" s="404">
        <f>SUM(E11:H11)</f>
        <v/>
      </c>
      <c r="J11" s="418" t="n"/>
      <c r="K11" s="404" t="n"/>
      <c r="L11" s="418" t="n"/>
      <c r="M11" s="419">
        <f>HYPERLINK("https://www.youtube.com/watch?v=gW8YOQbMdDI","Video Solution - Solver to be (Java)")</f>
        <v/>
      </c>
      <c r="N11" s="295" t="n"/>
      <c r="O11" s="295" t="n"/>
      <c r="P11" s="295" t="n"/>
      <c r="Q11" s="295" t="n"/>
      <c r="R11" s="295" t="n"/>
      <c r="S11" s="295" t="n"/>
      <c r="T11" s="295" t="n"/>
    </row>
    <row r="12" ht="15.75" customHeight="1" s="279">
      <c r="A12" s="295" t="inlineStr">
        <is>
          <t>Magnets</t>
        </is>
      </c>
      <c r="B12" s="417">
        <f>HYPERLINK("http://codeforces.com/contest/344/problem/A","CF344-D2-A")</f>
        <v/>
      </c>
      <c r="C12" s="404" t="n"/>
      <c r="D12" s="404" t="n"/>
      <c r="E12" s="404" t="n"/>
      <c r="F12" s="404" t="n"/>
      <c r="G12" s="404" t="n"/>
      <c r="H12" s="404" t="n"/>
      <c r="I12" s="404">
        <f>SUM(E12:H12)</f>
        <v/>
      </c>
      <c r="J12" s="418" t="n"/>
      <c r="K12" s="404" t="n"/>
      <c r="L12" s="418" t="n"/>
      <c r="M12" s="417">
        <f>HYPERLINK("https://www.youtube.com/watch?v=7o7lZTKFzp0","Video Solution - Solver to be (Java)")</f>
        <v/>
      </c>
      <c r="N12" s="417" t="n"/>
      <c r="O12" s="417" t="n"/>
      <c r="P12" s="417" t="n"/>
      <c r="Q12" s="417" t="n"/>
      <c r="R12" s="417" t="n"/>
      <c r="S12" s="417" t="n"/>
      <c r="T12" s="417" t="n"/>
    </row>
    <row r="13" ht="15.75" customHeight="1" s="279">
      <c r="A13" s="295" t="inlineStr">
        <is>
          <t>Sereja and Dima</t>
        </is>
      </c>
      <c r="B13" s="417">
        <f>HYPERLINK("http://codeforces.com/contest/381/problem/A","CF381-D2-A")</f>
        <v/>
      </c>
      <c r="C13" s="404" t="n"/>
      <c r="D13" s="404" t="n"/>
      <c r="E13" s="404" t="n"/>
      <c r="F13" s="404" t="n"/>
      <c r="G13" s="404" t="n"/>
      <c r="H13" s="404" t="n"/>
      <c r="I13" s="404">
        <f>SUM(E13:H13)</f>
        <v/>
      </c>
      <c r="J13" s="418" t="n"/>
      <c r="K13" s="404" t="n"/>
      <c r="L13" s="418" t="n"/>
      <c r="M13" s="417">
        <f>HYPERLINK("https://www.youtube.com/watch?v=XgJ0DS3r_KE","Video Solution - Solver to be (Java)")</f>
        <v/>
      </c>
      <c r="N13" s="417" t="n"/>
      <c r="O13" s="417" t="n"/>
      <c r="P13" s="417" t="n"/>
      <c r="Q13" s="417" t="n"/>
      <c r="R13" s="417" t="n"/>
      <c r="S13" s="417" t="n"/>
      <c r="T13" s="417" t="n"/>
    </row>
    <row r="14" ht="15.75" customHeight="1" s="279">
      <c r="A14" s="407" t="inlineStr">
        <is>
          <t>Stones on the Table</t>
        </is>
      </c>
      <c r="B14" s="408">
        <f>HYPERLINK("http://codeforces.com/contest/266/problem/A","CF266-D2-A")</f>
        <v/>
      </c>
      <c r="C14" s="404" t="n"/>
      <c r="D14" s="404" t="n"/>
      <c r="E14" s="404" t="n"/>
      <c r="F14" s="404" t="n"/>
      <c r="G14" s="404" t="n"/>
      <c r="H14" s="404" t="n"/>
      <c r="I14" s="404">
        <f>SUM(E14:H14)</f>
        <v/>
      </c>
      <c r="J14" s="404" t="n"/>
      <c r="K14" s="404" t="n"/>
      <c r="L14" s="404" t="n"/>
      <c r="M14" s="422">
        <f>HYPERLINK("https://www.youtube.com/watch?v=3akdDnmPwOY&amp;feature=youtu.be","Video Solution - Eng Ahmead Raafat (Python)")</f>
        <v/>
      </c>
      <c r="N14" s="414" t="n"/>
      <c r="O14" s="414" t="n"/>
      <c r="P14" s="414" t="n"/>
      <c r="Q14" s="414" t="n"/>
      <c r="R14" s="414" t="n"/>
      <c r="S14" s="414" t="n"/>
      <c r="T14" s="414" t="n"/>
    </row>
    <row r="15" ht="15.75" customHeight="1" s="279">
      <c r="A15" s="407" t="inlineStr">
        <is>
          <t>Police Recruits</t>
        </is>
      </c>
      <c r="B15" s="408">
        <f>HYPERLINK("http://codeforces.com/contest/427/problem/A","CF427-D2-A")</f>
        <v/>
      </c>
      <c r="C15" s="404" t="n"/>
      <c r="D15" s="404" t="n"/>
      <c r="E15" s="404" t="n"/>
      <c r="F15" s="404" t="n"/>
      <c r="G15" s="404" t="n"/>
      <c r="H15" s="404" t="n"/>
      <c r="I15" s="404">
        <f>SUM(E15:H15)</f>
        <v/>
      </c>
      <c r="J15" s="404" t="n"/>
      <c r="K15" s="404" t="n"/>
      <c r="L15" s="404" t="n"/>
      <c r="M15" s="422">
        <f>HYPERLINK("https://www.youtube.com/watch?v=PECOLs3YWR0&amp;feature=youtu.be","Video Solution - Eng Ahmead Raafat (Python)")</f>
        <v/>
      </c>
      <c r="N15" s="414" t="n"/>
      <c r="O15" s="414" t="n"/>
      <c r="P15" s="414" t="n"/>
      <c r="Q15" s="414" t="n"/>
      <c r="R15" s="414" t="n"/>
      <c r="S15" s="414" t="n"/>
      <c r="T15" s="414" t="n"/>
    </row>
    <row r="16" ht="15.75" customHeight="1" s="279">
      <c r="A16" s="423" t="inlineStr">
        <is>
          <t>Black Square</t>
        </is>
      </c>
      <c r="B16" s="408">
        <f>HYPERLINK("http://codeforces.com/contest/431/problem/A","CF431-D2-A")</f>
        <v/>
      </c>
      <c r="C16" s="404" t="n"/>
      <c r="D16" s="404" t="n"/>
      <c r="E16" s="404" t="n"/>
      <c r="F16" s="404" t="n"/>
      <c r="G16" s="404" t="n"/>
      <c r="H16" s="404" t="n"/>
      <c r="I16" s="404">
        <f>SUM(E16:H16)</f>
        <v/>
      </c>
      <c r="J16" s="404" t="n"/>
      <c r="K16" s="404" t="n"/>
      <c r="L16" s="404" t="n"/>
      <c r="M16" s="422">
        <f>HYPERLINK("https://www.youtube.com/watch?v=mJYiMoX4t0k","Video Solution - Eng Ahmead Raafat (Python)")</f>
        <v/>
      </c>
      <c r="N16" s="414" t="n"/>
      <c r="O16" s="414" t="n"/>
      <c r="P16" s="414" t="n"/>
      <c r="Q16" s="414" t="n"/>
      <c r="R16" s="414" t="n"/>
      <c r="S16" s="414" t="n"/>
      <c r="T16" s="414" t="n"/>
    </row>
    <row r="17" ht="15.75" customHeight="1" s="279">
      <c r="A17" s="423" t="inlineStr">
        <is>
          <t>Night at the Museum</t>
        </is>
      </c>
      <c r="B17" s="408">
        <f>HYPERLINK("http://codeforces.com/contest/731/problem/A","CF731-D2-A")</f>
        <v/>
      </c>
      <c r="C17" s="404" t="n"/>
      <c r="D17" s="404" t="n"/>
      <c r="E17" s="404" t="n"/>
      <c r="F17" s="404" t="n"/>
      <c r="G17" s="404" t="n"/>
      <c r="H17" s="404" t="n"/>
      <c r="I17" s="404">
        <f>SUM(E17:H17)</f>
        <v/>
      </c>
      <c r="J17" s="404" t="n"/>
      <c r="K17" s="404" t="n"/>
      <c r="L17" s="404" t="n"/>
      <c r="M17" s="422">
        <f>HYPERLINK("https://www.youtube.com/watch?v=pBhXYZKAFTM","Video Solution - Eng Yahia Ashraf")</f>
        <v/>
      </c>
      <c r="N17" s="414" t="n"/>
      <c r="O17" s="414" t="n"/>
      <c r="P17" s="414" t="n"/>
      <c r="Q17" s="414" t="n"/>
      <c r="R17" s="414" t="n"/>
      <c r="S17" s="414" t="n"/>
      <c r="T17" s="414" t="n"/>
    </row>
    <row r="18" ht="15.75" customHeight="1" s="279">
      <c r="A18" s="423" t="inlineStr">
        <is>
          <t>Games</t>
        </is>
      </c>
      <c r="B18" s="408">
        <f>HYPERLINK("http://codeforces.com/contest/268/problem/A","CF268-D2-A")</f>
        <v/>
      </c>
      <c r="C18" s="404" t="n"/>
      <c r="D18" s="404" t="n"/>
      <c r="E18" s="404" t="n"/>
      <c r="F18" s="404" t="n"/>
      <c r="G18" s="404" t="n"/>
      <c r="H18" s="404" t="n"/>
      <c r="I18" s="404">
        <f>SUM(E18:H18)</f>
        <v/>
      </c>
      <c r="J18" s="404" t="n"/>
      <c r="K18" s="404" t="n"/>
      <c r="L18" s="404" t="n"/>
      <c r="M18" s="422">
        <f>HYPERLINK("https://www.youtube.com/watch?v=lFt2GuQtmSs","Video Solution - Eng Yahia Ashraf")</f>
        <v/>
      </c>
      <c r="N18" s="414" t="n"/>
      <c r="O18" s="414" t="n"/>
      <c r="P18" s="414" t="n"/>
      <c r="Q18" s="414" t="n"/>
      <c r="R18" s="414" t="n"/>
      <c r="S18" s="414" t="n"/>
      <c r="T18" s="414" t="n"/>
    </row>
    <row r="19" ht="15.75" customHeight="1" s="279">
      <c r="A19" s="416" t="n"/>
      <c r="B19" s="416" t="n"/>
      <c r="C19" s="404" t="n"/>
      <c r="D19" s="404" t="n"/>
      <c r="E19" s="404" t="n"/>
      <c r="F19" s="404" t="n"/>
      <c r="G19" s="404" t="n"/>
      <c r="H19" s="404" t="n"/>
      <c r="I19" s="404">
        <f>SUM(E19:H19)</f>
        <v/>
      </c>
      <c r="J19" s="404" t="n"/>
      <c r="K19" s="404" t="n"/>
      <c r="L19" s="404" t="n"/>
      <c r="M19" s="424">
        <f>HYPERLINK("https://www.youtube.com/watch?v=Syx2qDjj7TE","Watch - Elementary Math - Introduction")</f>
        <v/>
      </c>
      <c r="N19" s="424" t="n"/>
      <c r="O19" s="424" t="n"/>
      <c r="P19" s="424" t="n"/>
      <c r="Q19" s="424" t="n"/>
      <c r="R19" s="424" t="n"/>
      <c r="S19" s="424" t="n"/>
      <c r="T19" s="424" t="n"/>
    </row>
    <row r="20" ht="15.75" customHeight="1" s="279">
      <c r="A20" s="295" t="inlineStr">
        <is>
          <t>Buy a Shovel</t>
        </is>
      </c>
      <c r="B20" s="417">
        <f>HYPERLINK("http://codeforces.com/contest/732/problem/A","CF732-D2-A")</f>
        <v/>
      </c>
      <c r="C20" s="418" t="n"/>
      <c r="D20" s="418" t="n"/>
      <c r="E20" s="418" t="n"/>
      <c r="F20" s="418" t="n"/>
      <c r="G20" s="418" t="n"/>
      <c r="H20" s="418" t="n"/>
      <c r="I20" s="404">
        <f>SUM(E20:H20)</f>
        <v/>
      </c>
      <c r="J20" s="418" t="n"/>
      <c r="K20" s="418" t="n"/>
      <c r="L20" s="418" t="n"/>
      <c r="M20" s="417">
        <f>HYPERLINK("https://www.youtube.com/watch?v=jKOSPuoplz0","Video Solution - Eng Yahia Ashraf")</f>
        <v/>
      </c>
      <c r="N20" s="417" t="n"/>
      <c r="O20" s="417" t="n"/>
      <c r="P20" s="417" t="n"/>
      <c r="Q20" s="417" t="n"/>
      <c r="R20" s="417" t="n"/>
      <c r="S20" s="417" t="n"/>
      <c r="T20" s="417" t="n"/>
    </row>
    <row r="21" ht="15.75" customHeight="1" s="279">
      <c r="A21" s="295" t="inlineStr">
        <is>
          <t>Is your horseshoe on the other hoof?</t>
        </is>
      </c>
      <c r="B21" s="417">
        <f>HYPERLINK("http://codeforces.com/contest/228/problem/A","CF228-D2-A")</f>
        <v/>
      </c>
      <c r="C21" s="418" t="n"/>
      <c r="D21" s="418" t="n"/>
      <c r="E21" s="418" t="n"/>
      <c r="F21" s="418" t="n"/>
      <c r="G21" s="418" t="n"/>
      <c r="H21" s="418" t="n"/>
      <c r="I21" s="404">
        <f>SUM(E21:H21)</f>
        <v/>
      </c>
      <c r="J21" s="418" t="n"/>
      <c r="K21" s="418" t="n"/>
      <c r="L21" s="418" t="n"/>
      <c r="M21" s="417">
        <f>HYPERLINK("https://www.youtube.com/watch?v=O0zvnXeQis4&amp;app=desktop#_=_","Video Solution - Eng Ahmead Raafat (Python)")</f>
        <v/>
      </c>
      <c r="N21" s="417" t="n"/>
      <c r="O21" s="417" t="n"/>
      <c r="P21" s="417" t="n"/>
      <c r="Q21" s="417" t="n"/>
      <c r="R21" s="417" t="n"/>
      <c r="S21" s="417" t="n"/>
      <c r="T21" s="417" t="n"/>
    </row>
    <row r="22" ht="15.75" customHeight="1" s="279">
      <c r="A22" s="295" t="inlineStr">
        <is>
          <t>Colorful Stones (Simplified Edition)</t>
        </is>
      </c>
      <c r="B22" s="417">
        <f>HYPERLINK("http://codeforces.com/contest/265/problem/A","CF265-D2-A")</f>
        <v/>
      </c>
      <c r="C22" s="418" t="n"/>
      <c r="D22" s="418" t="n"/>
      <c r="E22" s="418" t="n"/>
      <c r="F22" s="418" t="n"/>
      <c r="G22" s="418" t="n"/>
      <c r="H22" s="418" t="n"/>
      <c r="I22" s="404">
        <f>SUM(E22:H22)</f>
        <v/>
      </c>
      <c r="J22" s="418" t="n"/>
      <c r="K22" s="418" t="n"/>
      <c r="L22" s="418" t="n"/>
      <c r="M22" s="417">
        <f>HYPERLINK("https://www.youtube.com/watch?v=ol_mjArjBCk","Video Solution - Eng Ahmead Raafat (Python)")</f>
        <v/>
      </c>
      <c r="N22" s="417" t="n"/>
      <c r="O22" s="417" t="n"/>
      <c r="P22" s="417" t="n"/>
      <c r="Q22" s="417" t="n"/>
      <c r="R22" s="417" t="n"/>
      <c r="S22" s="417" t="n"/>
      <c r="T22" s="417" t="n"/>
    </row>
    <row r="23" ht="15.75" customHeight="1" s="279">
      <c r="A23" s="420" t="inlineStr">
        <is>
          <t>Die Roll</t>
        </is>
      </c>
      <c r="B23" s="421">
        <f>HYPERLINK("http://codeforces.com/contest/9/problem/A","CF9-D2-A")</f>
        <v/>
      </c>
      <c r="C23" s="404" t="n"/>
      <c r="D23" s="404" t="n"/>
      <c r="E23" s="404" t="n"/>
      <c r="F23" s="404" t="n"/>
      <c r="G23" s="404" t="n"/>
      <c r="H23" s="404" t="n"/>
      <c r="I23" s="404">
        <f>SUM(E23:H23)</f>
        <v/>
      </c>
      <c r="J23" s="418" t="n"/>
      <c r="K23" s="404" t="n"/>
      <c r="L23" s="418" t="n"/>
      <c r="M23" s="417">
        <f>HYPERLINK("https://www.youtube.com/watch?v=5T1yiz9-jZo","Video Solution - Eng Muntaser Abukadeja")</f>
        <v/>
      </c>
      <c r="N23" s="417" t="n"/>
      <c r="O23" s="417" t="n"/>
      <c r="P23" s="417" t="n"/>
      <c r="Q23" s="417" t="n"/>
      <c r="R23" s="417" t="n"/>
      <c r="S23" s="417" t="n"/>
      <c r="T23" s="417" t="n"/>
    </row>
    <row r="24" ht="15.75" customHeight="1" s="279">
      <c r="A24" s="420" t="inlineStr">
        <is>
          <t>Shaass and Oskols</t>
        </is>
      </c>
      <c r="B24" s="421">
        <f>HYPERLINK("http://codeforces.com/contest/294/problem/A","CF294-D2-A")</f>
        <v/>
      </c>
      <c r="C24" s="404" t="n"/>
      <c r="D24" s="404" t="n"/>
      <c r="E24" s="404" t="n"/>
      <c r="F24" s="404" t="n"/>
      <c r="G24" s="404" t="n"/>
      <c r="H24" s="404" t="n"/>
      <c r="I24" s="404">
        <f>SUM(E24:H24)</f>
        <v/>
      </c>
      <c r="J24" s="418" t="n"/>
      <c r="K24" s="404" t="n"/>
      <c r="L24" s="418" t="n"/>
      <c r="M24" s="417">
        <f>HYPERLINK("https://www.youtube.com/watch?v=GOuclkVCvRI","Video Solution - Dr Mostafa Saad")</f>
        <v/>
      </c>
      <c r="N24" s="417" t="n"/>
      <c r="O24" s="417" t="n"/>
      <c r="P24" s="417" t="n"/>
      <c r="Q24" s="417" t="n"/>
      <c r="R24" s="417" t="n"/>
      <c r="S24" s="417" t="n"/>
      <c r="T24" s="417" t="n"/>
    </row>
    <row r="25" ht="15.75" customHeight="1" s="279">
      <c r="A25" s="295" t="inlineStr">
        <is>
          <t>Juicer</t>
        </is>
      </c>
      <c r="B25" s="417">
        <f>HYPERLINK("http://codeforces.com/contest/709/problem/A","CF709-D2-A")</f>
        <v/>
      </c>
      <c r="C25" s="404" t="n"/>
      <c r="D25" s="404" t="n"/>
      <c r="E25" s="404" t="n"/>
      <c r="F25" s="404" t="n"/>
      <c r="G25" s="404" t="n"/>
      <c r="H25" s="404" t="n"/>
      <c r="I25" s="404">
        <f>SUM(E25:H25)</f>
        <v/>
      </c>
      <c r="J25" s="418" t="n"/>
      <c r="K25" s="404" t="n"/>
      <c r="L25" s="418" t="n"/>
      <c r="M25" s="417">
        <f>HYPERLINK("https://www.youtube.com/watch?v=fPcKGZ_e8G0","Video Solution - Solver to be (Java)")</f>
        <v/>
      </c>
      <c r="N25" s="417" t="n"/>
      <c r="O25" s="417" t="n"/>
      <c r="P25" s="417" t="n"/>
      <c r="Q25" s="417" t="n"/>
      <c r="R25" s="417" t="n"/>
      <c r="S25" s="417" t="n"/>
      <c r="T25" s="417" t="n"/>
    </row>
    <row r="26" ht="15.75" customHeight="1" s="279">
      <c r="A26" s="420" t="inlineStr">
        <is>
          <t>Carrot Cakes</t>
        </is>
      </c>
      <c r="B26" s="421">
        <f>HYPERLINK("http://codeforces.com/contest/799/problem/A","CF799-D2-A")</f>
        <v/>
      </c>
      <c r="C26" s="404" t="n"/>
      <c r="D26" s="404" t="n"/>
      <c r="E26" s="404" t="n"/>
      <c r="F26" s="404" t="n"/>
      <c r="G26" s="404" t="n"/>
      <c r="H26" s="404" t="n"/>
      <c r="I26" s="404">
        <f>SUM(E26:H26)</f>
        <v/>
      </c>
      <c r="J26" s="418" t="n"/>
      <c r="K26" s="404" t="n"/>
      <c r="L26" s="418" t="n"/>
      <c r="M26" s="417">
        <f>HYPERLINK("https://www.youtube.com/watch?v=uyEL9f8pxlM","Video Solution - Solver to be (Java)")</f>
        <v/>
      </c>
      <c r="N26" s="417" t="n"/>
      <c r="O26" s="417" t="n"/>
      <c r="P26" s="417" t="n"/>
      <c r="Q26" s="417" t="n"/>
      <c r="R26" s="417" t="n"/>
      <c r="S26" s="417" t="n"/>
      <c r="T26" s="417" t="n"/>
    </row>
    <row r="27" ht="15.75" customHeight="1" s="279">
      <c r="A27" s="420" t="inlineStr">
        <is>
          <t>Anton and Letters</t>
        </is>
      </c>
      <c r="B27" s="421">
        <f>HYPERLINK("http://codeforces.com/contest/443/problem/A","CF443-D2-A")</f>
        <v/>
      </c>
      <c r="C27" s="404" t="n"/>
      <c r="D27" s="404" t="n"/>
      <c r="E27" s="404" t="n"/>
      <c r="F27" s="404" t="n"/>
      <c r="G27" s="404" t="n"/>
      <c r="H27" s="404" t="n"/>
      <c r="I27" s="404">
        <f>SUM(E27:H27)</f>
        <v/>
      </c>
      <c r="J27" s="418" t="n"/>
      <c r="K27" s="404" t="n"/>
      <c r="L27" s="418" t="n"/>
      <c r="M27" s="417">
        <f>HYPERLINK("https://www.youtube.com/watch?v=YXuljSnZaTY","Video Solution - Solver to be (Java)")</f>
        <v/>
      </c>
      <c r="N27" s="417" t="n"/>
      <c r="O27" s="417" t="n"/>
      <c r="P27" s="417" t="n"/>
      <c r="Q27" s="417" t="n"/>
      <c r="R27" s="417" t="n"/>
      <c r="S27" s="417" t="n"/>
      <c r="T27" s="417" t="n"/>
    </row>
    <row r="28" ht="15.75" customHeight="1" s="279">
      <c r="A28" s="295" t="inlineStr">
        <is>
          <t>Way Too Long Words</t>
        </is>
      </c>
      <c r="B28" s="417">
        <f>HYPERLINK("http://codeforces.com/contest/71/problem/A","CF71-D2-A")</f>
        <v/>
      </c>
      <c r="C28" s="404" t="n"/>
      <c r="D28" s="404" t="n"/>
      <c r="E28" s="404" t="n"/>
      <c r="F28" s="404" t="n"/>
      <c r="G28" s="404" t="n"/>
      <c r="H28" s="404" t="n"/>
      <c r="I28" s="404">
        <f>SUM(E28:H28)</f>
        <v/>
      </c>
      <c r="J28" s="418" t="n"/>
      <c r="K28" s="404" t="n"/>
      <c r="L28" s="418" t="n"/>
      <c r="M28" s="419">
        <f>HYPERLINK("https://www.youtube.com/watch?v=yuebR81LyXE","Video Solution - Solver to be (Java)")</f>
        <v/>
      </c>
      <c r="N28" s="295" t="n"/>
      <c r="O28" s="295" t="n"/>
      <c r="P28" s="295" t="n"/>
      <c r="Q28" s="295" t="n"/>
      <c r="R28" s="295" t="n"/>
      <c r="S28" s="295" t="n"/>
      <c r="T28" s="295" t="n"/>
    </row>
    <row r="29" ht="15.75" customHeight="1" s="279">
      <c r="A29" s="295" t="inlineStr">
        <is>
          <t>Free Ice Cream</t>
        </is>
      </c>
      <c r="B29" s="417">
        <f>HYPERLINK("http://codeforces.com/contest/686/problem/A","CF686-D2-A")</f>
        <v/>
      </c>
      <c r="C29" s="404" t="n"/>
      <c r="D29" s="404" t="n"/>
      <c r="E29" s="404" t="n"/>
      <c r="F29" s="404" t="n"/>
      <c r="G29" s="404" t="n"/>
      <c r="H29" s="404" t="n"/>
      <c r="I29" s="404">
        <f>SUM(E29:H29)</f>
        <v/>
      </c>
      <c r="J29" s="418" t="n"/>
      <c r="K29" s="404" t="n"/>
      <c r="L29" s="418" t="n"/>
      <c r="M29" s="419">
        <f>HYPERLINK("https://www.youtube.com/watch?v=Alipj6tJKKI","Video Solution - Solver to be (Java)")</f>
        <v/>
      </c>
      <c r="N29" s="295" t="n"/>
      <c r="O29" s="295" t="n"/>
      <c r="P29" s="295" t="n"/>
      <c r="Q29" s="295" t="n"/>
      <c r="R29" s="295" t="n"/>
      <c r="S29" s="295" t="n"/>
      <c r="T29" s="295" t="n"/>
    </row>
    <row r="30" ht="15.75" customHeight="1" s="279">
      <c r="A30" s="420" t="inlineStr">
        <is>
          <t>Helpful Maths</t>
        </is>
      </c>
      <c r="B30" s="421">
        <f>HYPERLINK("http://codeforces.com/contest/339/problem/A","CF339-D2-A")</f>
        <v/>
      </c>
      <c r="C30" s="404" t="inlineStr">
        <is>
          <t>AC</t>
        </is>
      </c>
      <c r="D30" s="404" t="n">
        <v>1</v>
      </c>
      <c r="E30" s="404" t="n">
        <v>0.5</v>
      </c>
      <c r="F30" s="404" t="n">
        <v>0</v>
      </c>
      <c r="G30" s="404" t="n">
        <v>2</v>
      </c>
      <c r="H30" s="404" t="n"/>
      <c r="I30" s="404">
        <f>SUM(E30:H30)</f>
        <v/>
      </c>
      <c r="J30" s="418" t="n"/>
      <c r="K30" s="404" t="n"/>
      <c r="L30" s="418" t="n"/>
      <c r="M30" s="425" t="inlineStr">
        <is>
          <t>fun eazy q</t>
        </is>
      </c>
      <c r="N30" s="295" t="n"/>
      <c r="O30" s="295" t="n"/>
      <c r="P30" s="295" t="n"/>
      <c r="Q30" s="295" t="n"/>
      <c r="R30" s="295" t="n"/>
      <c r="S30" s="295" t="n"/>
      <c r="T30" s="295" t="n"/>
    </row>
    <row r="31" ht="15.75" customHeight="1" s="279">
      <c r="A31" s="426" t="inlineStr">
        <is>
          <t>Team Olympiad</t>
        </is>
      </c>
      <c r="B31" s="427">
        <f>HYPERLINK("http://codeforces.com/contest/490/problem/A","CF490-D2-A")</f>
        <v/>
      </c>
      <c r="C31" s="428" t="n"/>
      <c r="D31" s="428" t="n"/>
      <c r="E31" s="428" t="n"/>
      <c r="F31" s="428" t="n"/>
      <c r="G31" s="428" t="n"/>
      <c r="H31" s="428" t="n"/>
      <c r="I31" s="429">
        <f>SUM(E31:H31)</f>
        <v/>
      </c>
      <c r="J31" s="428" t="n"/>
      <c r="K31" s="429" t="n"/>
      <c r="L31" s="428" t="n"/>
      <c r="M31" s="427">
        <f>HYPERLINK("https://www.youtube.com/watch?v=2jJA1PCOrgg","Video Solution - Eng Muntaser Abukadeja")</f>
        <v/>
      </c>
      <c r="N31" s="427" t="n"/>
      <c r="O31" s="427" t="n"/>
      <c r="P31" s="427" t="n"/>
      <c r="Q31" s="427" t="n"/>
      <c r="R31" s="427" t="n"/>
      <c r="S31" s="427" t="n"/>
      <c r="T31" s="427" t="n"/>
    </row>
    <row r="32" ht="15.75" customHeight="1" s="279">
      <c r="A32" s="420" t="inlineStr">
        <is>
          <t>New Password</t>
        </is>
      </c>
      <c r="B32" s="421">
        <f>HYPERLINK("http://codeforces.com/contest/770/problem/A","CF770-D2-A")</f>
        <v/>
      </c>
      <c r="C32" s="404" t="inlineStr">
        <is>
          <t>AC</t>
        </is>
      </c>
      <c r="D32" s="404" t="n">
        <v>1</v>
      </c>
      <c r="E32" s="404" t="n">
        <v>1</v>
      </c>
      <c r="F32" s="404" t="n">
        <v>0</v>
      </c>
      <c r="G32" s="404" t="n">
        <v>8</v>
      </c>
      <c r="H32" s="404" t="n"/>
      <c r="I32" s="404">
        <f>SUM(E32:H32)</f>
        <v/>
      </c>
      <c r="J32" s="418" t="n"/>
      <c r="K32" s="404" t="n"/>
      <c r="L32" s="297" t="inlineStr">
        <is>
          <t>:</t>
        </is>
      </c>
      <c r="M32" s="430" t="inlineStr">
        <is>
          <t>i am stupid (:</t>
        </is>
      </c>
      <c r="N32" s="430" t="n"/>
      <c r="O32" s="430" t="n"/>
      <c r="P32" s="430" t="n"/>
      <c r="Q32" s="430" t="n"/>
      <c r="R32" s="430" t="n"/>
      <c r="S32" s="430" t="n"/>
      <c r="T32" s="430" t="n"/>
    </row>
    <row r="33" ht="15.75" customHeight="1" s="279">
      <c r="A33" s="295" t="n"/>
      <c r="B33" s="295" t="n"/>
      <c r="C33" s="404" t="n"/>
      <c r="D33" s="404" t="n"/>
      <c r="E33" s="404" t="n"/>
      <c r="F33" s="404" t="n"/>
      <c r="G33" s="404" t="n"/>
      <c r="H33" s="404" t="n"/>
      <c r="I33" s="404" t="n"/>
      <c r="J33" s="418" t="n"/>
      <c r="K33" s="404" t="n"/>
      <c r="L33" s="418" t="n"/>
      <c r="M33" s="430" t="n"/>
      <c r="N33" s="430" t="n"/>
      <c r="O33" s="430" t="n"/>
      <c r="P33" s="430" t="n"/>
      <c r="Q33" s="430" t="n"/>
      <c r="R33" s="430" t="n"/>
      <c r="S33" s="430" t="n"/>
      <c r="T33" s="430" t="n"/>
    </row>
    <row r="34" ht="15.75" customHeight="1" s="279">
      <c r="A34" s="295" t="n"/>
      <c r="B34" s="295" t="n"/>
      <c r="C34" s="404" t="n"/>
      <c r="D34" s="404" t="n"/>
      <c r="E34" s="404" t="n"/>
      <c r="F34" s="404" t="n"/>
      <c r="G34" s="404" t="n"/>
      <c r="H34" s="404" t="n"/>
      <c r="I34" s="404" t="n"/>
      <c r="J34" s="418" t="n"/>
      <c r="K34" s="404" t="n"/>
      <c r="L34" s="418" t="n"/>
      <c r="M34" s="430">
        <f>HYPERLINK("https://www.youtube.com/watch?v=9sqvjnvuLtY","Watch - Number Theory - Modular Arithmatic")</f>
        <v/>
      </c>
      <c r="N34" s="430" t="n"/>
      <c r="O34" s="430" t="n"/>
      <c r="P34" s="430" t="n"/>
      <c r="Q34" s="430" t="n"/>
      <c r="R34" s="430" t="n"/>
      <c r="S34" s="430" t="n"/>
      <c r="T34" s="430" t="n"/>
    </row>
    <row r="35" ht="15.75" customHeight="1" s="279">
      <c r="A35" s="295" t="n"/>
      <c r="B35" s="295" t="n"/>
      <c r="C35" s="404" t="n"/>
      <c r="D35" s="404" t="n"/>
      <c r="E35" s="404" t="n"/>
      <c r="F35" s="404" t="n"/>
      <c r="G35" s="404" t="n"/>
      <c r="H35" s="404" t="n"/>
      <c r="I35" s="404" t="n"/>
      <c r="J35" s="418" t="n"/>
      <c r="K35" s="404" t="n"/>
      <c r="L35" s="418" t="n"/>
      <c r="M35" s="430">
        <f>HYPERLINK("https://www.youtube.com/watch?v=sr6WgCLcgVM","Watch - Combinatorics - Counting Principles")</f>
        <v/>
      </c>
      <c r="N35" s="430" t="n"/>
      <c r="O35" s="430" t="n"/>
      <c r="P35" s="430" t="n"/>
      <c r="Q35" s="430" t="n"/>
      <c r="R35" s="430" t="n"/>
      <c r="S35" s="430" t="n"/>
      <c r="T35" s="430" t="n"/>
    </row>
    <row r="36" ht="90.75" customHeight="1" s="279">
      <c r="A36" s="295" t="n"/>
      <c r="B36" s="295" t="n"/>
      <c r="C36" s="404" t="n"/>
      <c r="D36" s="404" t="n"/>
      <c r="E36" s="404" t="n"/>
      <c r="F36" s="404" t="n"/>
      <c r="G36" s="404" t="n"/>
      <c r="H36" s="404" t="n"/>
      <c r="I36" s="404" t="n"/>
      <c r="J36" s="418" t="n"/>
      <c r="K36" s="404" t="n"/>
      <c r="L36" s="418" t="n"/>
      <c r="M36" s="431" t="inlineStr">
        <is>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is>
      </c>
      <c r="N36" s="431" t="n"/>
      <c r="O36" s="431" t="n"/>
      <c r="P36" s="431" t="n"/>
      <c r="Q36" s="431" t="n"/>
      <c r="R36" s="431" t="n"/>
      <c r="S36" s="431" t="n"/>
      <c r="T36" s="431" t="n"/>
    </row>
    <row r="37" ht="15.75" customHeight="1" s="279">
      <c r="A37" s="432" t="inlineStr">
        <is>
          <t>Light, more light</t>
        </is>
      </c>
      <c r="B37" s="316">
        <f>HYPERLINK("https://uva.onlinejudge.org/index.php?option=com_onlinejudge&amp;Itemid=8&amp;page=show_problem&amp;problem=1051","UVA 10110")</f>
        <v/>
      </c>
      <c r="C37" s="404" t="inlineStr">
        <is>
          <t>AC</t>
        </is>
      </c>
      <c r="D37" s="404" t="n">
        <v>3</v>
      </c>
      <c r="E37" s="404" t="n">
        <v>5</v>
      </c>
      <c r="F37" s="404" t="n">
        <v>11</v>
      </c>
      <c r="G37" s="404" t="n">
        <v>5</v>
      </c>
      <c r="H37" s="404" t="n">
        <v>15</v>
      </c>
      <c r="I37" s="404">
        <f>SUM(E37:H37)</f>
        <v/>
      </c>
      <c r="J37" s="418" t="n">
        <v>3</v>
      </c>
      <c r="K37" s="404" t="inlineStr">
        <is>
          <t>hint</t>
        </is>
      </c>
      <c r="L37" s="433" t="inlineStr">
        <is>
          <t>math</t>
        </is>
      </c>
      <c r="M37" s="434" t="inlineStr">
        <is>
          <t>used chat for divisorcount func             i am stupid but very very good  question</t>
        </is>
      </c>
      <c r="N37" s="417" t="n"/>
      <c r="O37" s="417" t="n"/>
      <c r="P37" s="417" t="n"/>
      <c r="Q37" s="417" t="n"/>
      <c r="R37" s="417" t="n"/>
      <c r="S37" s="417" t="n"/>
      <c r="T37" s="417" t="n"/>
    </row>
    <row r="38" ht="15.75" customHeight="1" s="279">
      <c r="A38" s="426" t="inlineStr">
        <is>
          <t>Product</t>
        </is>
      </c>
      <c r="B38" s="427">
        <f>HYPERLINK("https://uva.onlinejudge.org/index.php?option=com_onlinejudge&amp;Itemid=8&amp;page=show_problem&amp;problem=1047","UVA 10106")</f>
        <v/>
      </c>
      <c r="C38" s="429" t="n"/>
      <c r="D38" s="429" t="n"/>
      <c r="E38" s="429" t="n"/>
      <c r="F38" s="429" t="n"/>
      <c r="G38" s="429" t="n"/>
      <c r="H38" s="429" t="n"/>
      <c r="I38" s="429">
        <f>SUM(E38:H38)</f>
        <v/>
      </c>
      <c r="J38" s="428" t="n"/>
      <c r="K38" s="429" t="n"/>
      <c r="L38" s="428" t="n"/>
      <c r="M38" s="427">
        <f>HYPERLINK("https://www.youtube.com/watch?v=KNd6eqRpWqE","Video Solution - Eng Youssef El Ghareeb. Don't solve using big integer")</f>
        <v/>
      </c>
      <c r="N38" s="427" t="n"/>
      <c r="O38" s="427" t="n"/>
      <c r="P38" s="427" t="n"/>
      <c r="Q38" s="427" t="n"/>
      <c r="R38" s="427" t="n"/>
      <c r="S38" s="427" t="n"/>
      <c r="T38" s="427" t="n"/>
    </row>
    <row r="39" ht="15.75" customHeight="1" s="279">
      <c r="A39" s="432" t="inlineStr">
        <is>
          <t>Uniform Generator</t>
        </is>
      </c>
      <c r="B39" s="316">
        <f>HYPERLINK("https://uva.onlinejudge.org/index.php?option=onlinejudge&amp;page=show_problem&amp;problem=349","UVA 408")</f>
        <v/>
      </c>
      <c r="C39" s="404" t="inlineStr">
        <is>
          <t>AC</t>
        </is>
      </c>
      <c r="D39" s="404" t="n">
        <v>1</v>
      </c>
      <c r="E39" s="404" t="n">
        <v>3</v>
      </c>
      <c r="F39" s="404" t="n">
        <v>20</v>
      </c>
      <c r="G39" s="404" t="n">
        <v>6</v>
      </c>
      <c r="H39" s="404" t="n"/>
      <c r="I39" s="404">
        <f>SUM(E39:H39)</f>
        <v/>
      </c>
      <c r="J39" s="418" t="n">
        <v>2.5</v>
      </c>
      <c r="K39" s="404" t="inlineStr">
        <is>
          <t>yes</t>
        </is>
      </c>
      <c r="L39" s="433" t="inlineStr">
        <is>
          <t>math</t>
        </is>
      </c>
      <c r="M39" s="422" t="inlineStr">
        <is>
          <t>very fun math problem it uses gcd in a smart way</t>
        </is>
      </c>
      <c r="N39" s="414" t="n"/>
      <c r="O39" s="414" t="n"/>
      <c r="P39" s="414" t="n"/>
      <c r="Q39" s="414" t="n"/>
      <c r="R39" s="414" t="n"/>
      <c r="S39" s="414" t="n"/>
      <c r="T39" s="414" t="n"/>
    </row>
    <row r="40" ht="15.75" customHeight="1" s="279">
      <c r="A40" s="432" t="inlineStr">
        <is>
          <t>Black and white painting</t>
        </is>
      </c>
      <c r="B40" s="316">
        <f>HYPERLINK("https://uva.onlinejudge.org/index.php?option=onlinejudge&amp;page=show_problem&amp;problem=2172","UVA 11231")</f>
        <v/>
      </c>
      <c r="C40" s="404" t="inlineStr">
        <is>
          <t>AC</t>
        </is>
      </c>
      <c r="D40" s="404" t="n">
        <v>1</v>
      </c>
      <c r="E40" s="404" t="n">
        <v>1.5</v>
      </c>
      <c r="F40" s="404" t="n">
        <v>25</v>
      </c>
      <c r="G40" s="404" t="n">
        <v>22</v>
      </c>
      <c r="H40" s="404" t="n"/>
      <c r="I40" s="404">
        <f>SUM(E40:H40)</f>
        <v/>
      </c>
      <c r="J40" s="418" t="n">
        <v>3</v>
      </c>
      <c r="K40" s="404" t="inlineStr">
        <is>
          <t>hint</t>
        </is>
      </c>
      <c r="L40" s="433" t="inlineStr">
        <is>
          <t>math</t>
        </is>
      </c>
      <c r="M40" s="425" t="inlineStr">
        <is>
          <t>very based</t>
        </is>
      </c>
      <c r="N40" s="417" t="n"/>
      <c r="O40" s="417" t="n"/>
      <c r="P40" s="417" t="n"/>
      <c r="Q40" s="417" t="n"/>
      <c r="R40" s="417" t="n"/>
      <c r="S40" s="417" t="n"/>
      <c r="T40" s="417" t="n"/>
    </row>
    <row r="41" ht="34.5" customHeight="1" s="279">
      <c r="A41" s="432" t="n"/>
      <c r="B41" s="316">
        <f>HYPERLINK("https://www.spoj.com/problems/EASYMATH/","SPOJ EASYMATH")</f>
        <v/>
      </c>
      <c r="C41" s="404" t="inlineStr">
        <is>
          <t>CS</t>
        </is>
      </c>
      <c r="D41" s="404" t="n"/>
      <c r="E41" s="404" t="n">
        <v>0.6</v>
      </c>
      <c r="F41" s="404" t="n">
        <v>41</v>
      </c>
      <c r="G41" s="404" t="n">
        <v>0</v>
      </c>
      <c r="H41" s="435" t="n"/>
      <c r="I41" s="436">
        <f>SUM(E41:H41)</f>
        <v/>
      </c>
      <c r="J41" s="418" t="n"/>
      <c r="K41" s="433" t="inlineStr">
        <is>
          <t>):</t>
        </is>
      </c>
      <c r="L41" s="418" t="n"/>
      <c r="M41" s="301" t="inlineStr">
        <is>
          <t>("https://github.com/Emsawy/CompetitiveProgramming/blob/master/SPOJ/EASYMATH.cpp","Sol")  it butchered me  i need to look at it again wasnt able to solve it and didnt understand the solutions</t>
        </is>
      </c>
      <c r="N41" s="295" t="n"/>
      <c r="O41" s="295" t="n"/>
      <c r="P41" s="418" t="n"/>
      <c r="Q41" s="295" t="n"/>
      <c r="R41" s="295" t="n"/>
      <c r="S41" s="295" t="n"/>
      <c r="T41" s="417" t="n"/>
    </row>
    <row r="42" ht="23.25" customHeight="1" s="279">
      <c r="A42" s="437" t="inlineStr">
        <is>
          <t>Electricity</t>
        </is>
      </c>
      <c r="B42" s="438">
        <f>HYPERLINK("https://uva.onlinejudge.org/index.php?option=onlinejudge&amp;page=show_problem&amp;problem=3300","UVA 12148")</f>
        <v/>
      </c>
      <c r="C42" s="404" t="inlineStr">
        <is>
          <t>cs</t>
        </is>
      </c>
      <c r="D42" s="404" t="n"/>
      <c r="E42" s="404" t="n">
        <v>4</v>
      </c>
      <c r="F42" s="404" t="n">
        <v>9</v>
      </c>
      <c r="G42" s="404" t="n">
        <v>17</v>
      </c>
      <c r="H42" s="404" t="n"/>
      <c r="I42" s="439">
        <f>SUM(E42:H42)</f>
        <v/>
      </c>
      <c r="J42" s="418" t="n"/>
      <c r="K42" s="404" t="inlineStr">
        <is>
          <t>no</t>
        </is>
      </c>
      <c r="L42" s="433" t="inlineStr">
        <is>
          <t>implemention</t>
        </is>
      </c>
      <c r="M42" s="417">
        <f>HYPERLINK("https://github.com/juanplopes/icpc/blob/master/uva/12148.cpp","Learn Calender Leap Year")</f>
        <v/>
      </c>
      <c r="N42" s="417" t="n"/>
      <c r="O42" s="417" t="n"/>
      <c r="P42" s="417" t="n"/>
      <c r="Q42" s="417" t="n"/>
      <c r="R42" s="417" t="n"/>
      <c r="S42" s="417" t="n"/>
      <c r="T42" s="417" t="n"/>
    </row>
    <row r="43" ht="15.75" customHeight="1" s="279">
      <c r="A43" s="420" t="n"/>
      <c r="B43" s="421" t="n"/>
      <c r="C43" s="404" t="n"/>
      <c r="D43" s="404" t="n"/>
      <c r="E43" s="404" t="n"/>
      <c r="F43" s="404" t="n"/>
      <c r="G43" s="404" t="n"/>
      <c r="H43" s="404" t="n"/>
      <c r="I43" s="404">
        <f>SUM(E43:H43)</f>
        <v/>
      </c>
      <c r="J43" s="418" t="n"/>
      <c r="K43" s="404" t="n"/>
      <c r="L43" s="418" t="n"/>
      <c r="M43" s="295" t="n"/>
      <c r="N43" s="295" t="n"/>
      <c r="O43" s="295" t="n"/>
      <c r="P43" s="295" t="n"/>
      <c r="Q43" s="295" t="n"/>
      <c r="R43" s="295" t="n"/>
      <c r="S43" s="295" t="n"/>
      <c r="T43" s="295" t="n"/>
    </row>
    <row r="44" ht="15.75" customHeight="1" s="279">
      <c r="A44" s="295" t="inlineStr">
        <is>
          <t>Presents</t>
        </is>
      </c>
      <c r="B44" s="417">
        <f>HYPERLINK("http://codeforces.com/contest/136/problem/A","CF136-D2-A")</f>
        <v/>
      </c>
      <c r="C44" s="433" t="inlineStr">
        <is>
          <t>AC</t>
        </is>
      </c>
      <c r="D44" s="418" t="n">
        <v>1</v>
      </c>
      <c r="E44" s="418" t="n">
        <v>1.5</v>
      </c>
      <c r="F44" s="418" t="n">
        <v>0</v>
      </c>
      <c r="G44" s="418" t="n">
        <v>4</v>
      </c>
      <c r="H44" s="418" t="n"/>
      <c r="I44" s="404">
        <f>SUM(E44:H44)</f>
        <v/>
      </c>
      <c r="J44" s="418" t="n">
        <v>1</v>
      </c>
      <c r="K44" s="404" t="n"/>
      <c r="L44" s="433" t="inlineStr">
        <is>
          <t>stimulation</t>
        </is>
      </c>
      <c r="M44" s="417">
        <f>HYPERLINK("https://www.youtube.com/watch?v=MduaJDmo7RU","Video Solution - Eng Ahmed Rafaat (Python)")</f>
        <v/>
      </c>
      <c r="N44" s="417" t="n"/>
      <c r="O44" s="417" t="n"/>
      <c r="P44" s="417" t="n"/>
      <c r="Q44" s="417" t="n"/>
      <c r="R44" s="417" t="n"/>
      <c r="S44" s="417" t="n"/>
      <c r="T44" s="417" t="n"/>
    </row>
    <row r="45" ht="15.75" customHeight="1" s="279">
      <c r="A45" s="295" t="inlineStr">
        <is>
          <t>Lineland Mail</t>
        </is>
      </c>
      <c r="B45" s="417">
        <f>HYPERLINK("http://codeforces.com/contest/567/problem/A","CF567-D2-A")</f>
        <v/>
      </c>
      <c r="C45" s="418" t="n"/>
      <c r="D45" s="418" t="n"/>
      <c r="E45" s="418" t="n"/>
      <c r="F45" s="418" t="n"/>
      <c r="G45" s="418" t="n"/>
      <c r="H45" s="418" t="n"/>
      <c r="I45" s="404">
        <f>SUM(E45:H45)</f>
        <v/>
      </c>
      <c r="J45" s="418" t="n"/>
      <c r="K45" s="404" t="n"/>
      <c r="L45" s="418" t="n"/>
      <c r="M45" s="417">
        <f>HYPERLINK("https://www.youtube.com/watch?v=gc4BEAw0pbs&amp;feature=youtu.be","Video Solution - Eng Ahmed Rafaat (Python)")</f>
        <v/>
      </c>
      <c r="N45" s="417" t="n"/>
      <c r="O45" s="417" t="n"/>
      <c r="P45" s="417" t="n"/>
      <c r="Q45" s="417" t="n"/>
      <c r="R45" s="417" t="n"/>
      <c r="S45" s="417" t="n"/>
      <c r="T45" s="417" t="n"/>
    </row>
    <row r="46" ht="15.75" customHeight="1" s="279">
      <c r="A46" s="420" t="inlineStr">
        <is>
          <t>Mahmoud and Longest Uncommon Subsequence</t>
        </is>
      </c>
      <c r="B46" s="421">
        <f>HYPERLINK("http://codeforces.com/contest/766/problem/A","CF766-D2-A")</f>
        <v/>
      </c>
      <c r="C46" s="404" t="inlineStr">
        <is>
          <t>AC</t>
        </is>
      </c>
      <c r="D46" s="404" t="n">
        <v>1</v>
      </c>
      <c r="E46" s="404" t="n">
        <v>1</v>
      </c>
      <c r="F46" s="404" t="n"/>
      <c r="G46" s="404" t="n">
        <v>0.5</v>
      </c>
      <c r="H46" s="404" t="n"/>
      <c r="I46" s="404">
        <f>SUM(E46:H46)</f>
        <v/>
      </c>
      <c r="J46" s="418" t="n">
        <v>1</v>
      </c>
      <c r="K46" s="404" t="n"/>
      <c r="L46" s="433" t="inlineStr">
        <is>
          <t>idk</t>
        </is>
      </c>
      <c r="M46" s="419">
        <f>HYPERLINK("https://www.youtube.com/watch?v=nq66DIFAyhs","Video Solution - Solver to be (Java)")</f>
        <v/>
      </c>
      <c r="N46" s="295" t="n"/>
      <c r="O46" s="295" t="n"/>
      <c r="P46" s="295" t="n"/>
      <c r="Q46" s="295" t="n"/>
      <c r="R46" s="295" t="n"/>
      <c r="S46" s="295" t="n"/>
      <c r="T46" s="295" t="n"/>
    </row>
    <row r="47" ht="15.75" customHeight="1" s="279">
      <c r="A47" s="295" t="inlineStr">
        <is>
          <t>Snacktower</t>
        </is>
      </c>
      <c r="B47" s="417">
        <f>HYPERLINK("http://codeforces.com/problemset/problem/767/A","CF767-D2-A")</f>
        <v/>
      </c>
      <c r="C47" s="404" t="n"/>
      <c r="D47" s="404" t="n"/>
      <c r="E47" s="404" t="n"/>
      <c r="F47" s="404" t="n"/>
      <c r="G47" s="404" t="n"/>
      <c r="H47" s="404" t="n"/>
      <c r="I47" s="404">
        <f>SUM(E47:H47)</f>
        <v/>
      </c>
      <c r="J47" s="418" t="n"/>
      <c r="K47" s="404" t="n"/>
      <c r="L47" s="418" t="n"/>
      <c r="M47" s="295" t="n"/>
      <c r="N47" s="295" t="n"/>
      <c r="O47" s="295" t="n"/>
      <c r="P47" s="295" t="n"/>
      <c r="Q47" s="295" t="n"/>
      <c r="R47" s="295" t="n"/>
      <c r="S47" s="295" t="n"/>
      <c r="T47" s="295" t="n"/>
    </row>
    <row r="48" ht="15.75" customHeight="1" s="279">
      <c r="A48" s="295" t="inlineStr">
        <is>
          <t>Oath of the Night's Watch</t>
        </is>
      </c>
      <c r="B48" s="417">
        <f>HYPERLINK("http://codeforces.com/contest/768/problem/A","CF768-D2-A")</f>
        <v/>
      </c>
      <c r="C48" s="404" t="n"/>
      <c r="D48" s="404" t="n"/>
      <c r="E48" s="404" t="n"/>
      <c r="F48" s="404" t="n"/>
      <c r="G48" s="404" t="n"/>
      <c r="H48" s="404" t="n"/>
      <c r="I48" s="404">
        <f>SUM(E48:H48)</f>
        <v/>
      </c>
      <c r="J48" s="418" t="n"/>
      <c r="K48" s="404" t="n"/>
      <c r="L48" s="418" t="n"/>
      <c r="M48" s="419">
        <f>HYPERLINK("https://www.youtube.com/watch?v=4vBmYmqOoIk","Video Solution - Solver to be (Java)")</f>
        <v/>
      </c>
      <c r="N48" s="295" t="n"/>
      <c r="O48" s="295" t="n"/>
      <c r="P48" s="295" t="n"/>
      <c r="Q48" s="295" t="n"/>
      <c r="R48" s="295" t="n"/>
      <c r="S48" s="295" t="n"/>
      <c r="T48" s="295" t="n"/>
    </row>
    <row r="49" ht="15.75" customHeight="1" s="279">
      <c r="A49" s="426" t="inlineStr">
        <is>
          <t>Pangram</t>
        </is>
      </c>
      <c r="B49" s="427">
        <f>HYPERLINK("http://codeforces.com/contest/520/problem/A","CF520-D2-A")</f>
        <v/>
      </c>
      <c r="C49" s="429" t="n"/>
      <c r="D49" s="429" t="n"/>
      <c r="E49" s="429" t="n"/>
      <c r="F49" s="429" t="n"/>
      <c r="G49" s="429" t="n"/>
      <c r="H49" s="429" t="n"/>
      <c r="I49" s="429">
        <f>SUM(E49:H49)</f>
        <v/>
      </c>
      <c r="J49" s="428" t="n"/>
      <c r="K49" s="429" t="n"/>
      <c r="L49" s="428" t="n"/>
      <c r="M49" s="427">
        <f>HYPERLINK("https://www.youtube.com/watch?v=TrHCzh7bPRo","Video Solution - Solver to be (Java)")</f>
        <v/>
      </c>
      <c r="N49" s="427" t="n"/>
      <c r="O49" s="427" t="n"/>
      <c r="P49" s="427" t="n"/>
      <c r="Q49" s="427" t="n"/>
      <c r="R49" s="427" t="n"/>
      <c r="S49" s="427" t="n"/>
      <c r="T49" s="427" t="n"/>
    </row>
    <row r="50" ht="15.75" customHeight="1" s="279">
      <c r="A50" s="426" t="inlineStr">
        <is>
          <t>Twins</t>
        </is>
      </c>
      <c r="B50" s="427">
        <f>HYPERLINK("http://codeforces.com/contest/160/problem/A","CF160-D2-A")</f>
        <v/>
      </c>
      <c r="C50" s="428" t="n"/>
      <c r="D50" s="428" t="n"/>
      <c r="E50" s="428" t="n"/>
      <c r="F50" s="428" t="n"/>
      <c r="G50" s="428" t="n"/>
      <c r="H50" s="428" t="n"/>
      <c r="I50" s="429">
        <f>SUM(E50:H50)</f>
        <v/>
      </c>
      <c r="J50" s="428" t="n"/>
      <c r="K50" s="429" t="n"/>
      <c r="L50" s="428" t="n"/>
      <c r="M50" s="427">
        <f>HYPERLINK("https://www.youtube.com/watch?v=V6fh3b50nX8","Video Solution - Solver to be (Java)")</f>
        <v/>
      </c>
      <c r="N50" s="427" t="n"/>
      <c r="O50" s="427" t="n"/>
      <c r="P50" s="427" t="n"/>
      <c r="Q50" s="427" t="n"/>
      <c r="R50" s="427" t="n"/>
      <c r="S50" s="427" t="n"/>
      <c r="T50" s="427" t="n"/>
    </row>
    <row r="51" ht="15.75" customHeight="1" s="279">
      <c r="A51" s="426" t="inlineStr">
        <is>
          <t>Keyboard</t>
        </is>
      </c>
      <c r="B51" s="427">
        <f>HYPERLINK("http://codeforces.com/contest/474/problem/A","CF474-D2-A")</f>
        <v/>
      </c>
      <c r="C51" s="428" t="n"/>
      <c r="D51" s="428" t="n"/>
      <c r="E51" s="428" t="n"/>
      <c r="F51" s="428" t="n"/>
      <c r="G51" s="428" t="n"/>
      <c r="H51" s="428" t="n"/>
      <c r="I51" s="429">
        <f>SUM(E51:H51)</f>
        <v/>
      </c>
      <c r="J51" s="428" t="n"/>
      <c r="K51" s="428" t="n"/>
      <c r="L51" s="428" t="n"/>
      <c r="M51" s="427">
        <f>HYPERLINK("https://www.youtube.com/watch?v=oFIiCpVI3Ck","Video Solution - Solver to be (Java)")</f>
        <v/>
      </c>
      <c r="N51" s="427" t="n"/>
      <c r="O51" s="427" t="n"/>
      <c r="P51" s="427" t="n"/>
      <c r="Q51" s="427" t="n"/>
      <c r="R51" s="427" t="n"/>
      <c r="S51" s="427" t="n"/>
      <c r="T51" s="427" t="n"/>
    </row>
    <row r="52" ht="15.75" customHeight="1" s="279">
      <c r="A52" s="295" t="n"/>
      <c r="B52" s="295" t="n"/>
      <c r="C52" s="404" t="n"/>
      <c r="D52" s="404" t="n"/>
      <c r="E52" s="404" t="n"/>
      <c r="F52" s="404" t="n"/>
      <c r="G52" s="404" t="n"/>
      <c r="H52" s="404" t="n"/>
      <c r="I52" s="404">
        <f>SUM(E52:H52)</f>
        <v/>
      </c>
      <c r="J52" s="418" t="n"/>
      <c r="K52" s="418" t="n"/>
      <c r="L52" s="418" t="n"/>
      <c r="M52" s="430">
        <f>HYPERLINK("https://www.youtube.com/watch?v=jzfcfQVBtKA","Watch - Graph Theory - Intro")</f>
        <v/>
      </c>
      <c r="N52" s="430" t="n"/>
      <c r="O52" s="430" t="n"/>
      <c r="P52" s="430" t="n"/>
      <c r="Q52" s="430" t="n"/>
      <c r="R52" s="430" t="n"/>
      <c r="S52" s="430" t="n"/>
      <c r="T52" s="430" t="n"/>
    </row>
    <row r="53" ht="15.75" customHeight="1" s="279">
      <c r="A53" s="295" t="n"/>
      <c r="B53" s="295" t="n"/>
      <c r="C53" s="404" t="n"/>
      <c r="D53" s="404" t="n"/>
      <c r="E53" s="404" t="n"/>
      <c r="F53" s="404" t="n"/>
      <c r="G53" s="404" t="n"/>
      <c r="H53" s="404" t="n"/>
      <c r="I53" s="404">
        <f>SUM(E53:H53)</f>
        <v/>
      </c>
      <c r="J53" s="418" t="n"/>
      <c r="K53" s="404" t="n"/>
      <c r="L53" s="418" t="n"/>
      <c r="M53" s="430">
        <f>HYPERLINK("https://www.youtube.com/watch?v=9DP0X2xlPCo","Watch - Graph Theory - DFS")</f>
        <v/>
      </c>
      <c r="N53" s="430" t="n"/>
      <c r="O53" s="430" t="n"/>
      <c r="P53" s="430" t="n"/>
      <c r="Q53" s="430" t="n"/>
      <c r="R53" s="430" t="n"/>
      <c r="S53" s="430" t="n"/>
      <c r="T53" s="430" t="n"/>
    </row>
    <row r="54" ht="15.75" customHeight="1" s="279">
      <c r="A54" s="432" t="inlineStr">
        <is>
          <t>The Seasonal War</t>
        </is>
      </c>
      <c r="B54" s="316">
        <f>HYPERLINK("https://uva.onlinejudge.org/index.php?option=onlinejudge&amp;page=show_problem&amp;problem=288","UVA 352")</f>
        <v/>
      </c>
      <c r="C54" s="404" t="n"/>
      <c r="D54" s="404" t="n"/>
      <c r="E54" s="404" t="n"/>
      <c r="F54" s="404" t="n"/>
      <c r="G54" s="404" t="n"/>
      <c r="H54" s="404" t="n"/>
      <c r="I54" s="404">
        <f>SUM(E54:H54)</f>
        <v/>
      </c>
      <c r="J54" s="418" t="n"/>
      <c r="K54" s="404" t="n"/>
      <c r="L54" s="418" t="n"/>
      <c r="M54" s="417">
        <f>HYPERLINK("https://www.youtube.com/watch?v=-nRiMjHEIUg","Video Solution - Eng Mohamed Nasser")</f>
        <v/>
      </c>
      <c r="N54" s="417" t="n"/>
      <c r="O54" s="417" t="n"/>
      <c r="P54" s="417" t="n"/>
      <c r="Q54" s="417" t="n"/>
      <c r="R54" s="417" t="n"/>
      <c r="S54" s="417" t="n"/>
      <c r="T54" s="417" t="n"/>
    </row>
    <row r="55" ht="15.75" customHeight="1" s="279">
      <c r="A55" s="432" t="inlineStr">
        <is>
          <t>Marcus</t>
        </is>
      </c>
      <c r="B55" s="316">
        <f>HYPERLINK("https://uva.onlinejudge.org/index.php?option=onlinejudge&amp;page=show_problem&amp;problem=1393","UVA 10452")</f>
        <v/>
      </c>
      <c r="C55" s="404" t="inlineStr">
        <is>
          <t>AC</t>
        </is>
      </c>
      <c r="D55" s="404" t="n">
        <v>1</v>
      </c>
      <c r="E55" s="404" t="n">
        <v>3</v>
      </c>
      <c r="F55" s="404" t="n">
        <v>2</v>
      </c>
      <c r="G55" s="404" t="n">
        <v>20</v>
      </c>
      <c r="H55" s="404" t="n">
        <v>0</v>
      </c>
      <c r="I55" s="404">
        <f>SUM(E55:H55)</f>
        <v/>
      </c>
      <c r="J55" s="418" t="n">
        <v>2</v>
      </c>
      <c r="K55" s="404" t="inlineStr">
        <is>
          <t>yes</t>
        </is>
      </c>
      <c r="L55" s="433" t="inlineStr">
        <is>
          <t>implemtion</t>
        </is>
      </c>
      <c r="M55" s="425" t="inlineStr">
        <is>
          <t>it was fun to solve i need to get better at implemention</t>
        </is>
      </c>
      <c r="N55" s="417" t="n"/>
      <c r="O55" s="417" t="n"/>
      <c r="P55" s="417" t="n"/>
      <c r="Q55" s="417" t="n"/>
      <c r="R55" s="417" t="n"/>
      <c r="S55" s="417" t="n"/>
      <c r="T55" s="417" t="n"/>
    </row>
    <row r="56" ht="15.75" customHeight="1" s="279">
      <c r="A56" s="432" t="inlineStr">
        <is>
          <t>Battleships</t>
        </is>
      </c>
      <c r="B56" s="316">
        <f>HYPERLINK("https://uva.onlinejudge.org/index.php?option=com_onlinejudge&amp;Itemid=8&amp;page=show_problem&amp;problem=3104","UVA 11953")</f>
        <v/>
      </c>
      <c r="C56" s="404" t="inlineStr">
        <is>
          <t>AC</t>
        </is>
      </c>
      <c r="D56" s="404" t="n">
        <v>2</v>
      </c>
      <c r="E56" s="404" t="n">
        <v>4</v>
      </c>
      <c r="F56" s="404" t="n">
        <v>5</v>
      </c>
      <c r="G56" s="404" t="n">
        <v>16</v>
      </c>
      <c r="H56" s="404" t="n">
        <v>10</v>
      </c>
      <c r="I56" s="404">
        <f>SUM(E56:H56)</f>
        <v/>
      </c>
      <c r="J56" s="418" t="n">
        <v>2</v>
      </c>
      <c r="K56" s="404" t="inlineStr">
        <is>
          <t>yes</t>
        </is>
      </c>
      <c r="L56" s="433" t="inlineStr">
        <is>
          <t>implemtion</t>
        </is>
      </c>
      <c r="M56" s="425" t="inlineStr">
        <is>
          <t>i spent like 10 mins not understanding whats wrong in the end it was "=" and "=="</t>
        </is>
      </c>
      <c r="N56" s="417" t="n"/>
      <c r="O56" s="417" t="n"/>
      <c r="P56" s="417" t="n"/>
      <c r="Q56" s="417" t="n"/>
      <c r="R56" s="417" t="n"/>
      <c r="S56" s="417" t="n"/>
      <c r="T56" s="417" t="n"/>
    </row>
    <row r="57" ht="15.75" customHeight="1" s="279">
      <c r="A57" s="295" t="n"/>
      <c r="B57" s="295" t="n"/>
      <c r="C57" s="404" t="n"/>
      <c r="D57" s="404" t="n"/>
      <c r="E57" s="404" t="n"/>
      <c r="F57" s="404" t="n"/>
      <c r="G57" s="404" t="n"/>
      <c r="H57" s="404" t="n"/>
      <c r="I57" s="404">
        <f>SUM(E57:H57)</f>
        <v/>
      </c>
      <c r="J57" s="418" t="n"/>
      <c r="K57" s="404" t="n"/>
      <c r="L57" s="418" t="n"/>
      <c r="M57" s="440">
        <f>HYPERLINK("https://en.wikipedia.org/wiki/Bipartite_graph","Read definition of: Bipartite graph")</f>
        <v/>
      </c>
      <c r="N57" s="440" t="n"/>
      <c r="O57" s="440" t="n"/>
      <c r="P57" s="440" t="n"/>
      <c r="Q57" s="440" t="n"/>
      <c r="R57" s="440" t="n"/>
      <c r="S57" s="440" t="n"/>
      <c r="T57" s="440" t="n"/>
    </row>
    <row r="58" ht="15.75" customHeight="1" s="279">
      <c r="A58" s="432" t="inlineStr">
        <is>
          <t>Forming Teams</t>
        </is>
      </c>
      <c r="B58" s="316">
        <f>HYPERLINK("http://codeforces.com/contest/216/problem/B","CF216-D2-B")</f>
        <v/>
      </c>
      <c r="C58" s="404" t="inlineStr">
        <is>
          <t>AC</t>
        </is>
      </c>
      <c r="D58" s="404" t="n">
        <v>3</v>
      </c>
      <c r="E58" s="404" t="n">
        <v>2</v>
      </c>
      <c r="F58" s="404" t="n">
        <v>18</v>
      </c>
      <c r="G58" s="404" t="n">
        <v>15</v>
      </c>
      <c r="H58" s="404" t="n">
        <v>60</v>
      </c>
      <c r="I58" s="404">
        <f>SUM(E58:H58)</f>
        <v/>
      </c>
      <c r="J58" s="418" t="n"/>
      <c r="K58" s="404" t="n"/>
      <c r="L58" s="433" t="inlineStr">
        <is>
          <t>GRAPHS</t>
        </is>
      </c>
      <c r="M58" s="417">
        <f>HYPERLINK("https://www.youtube.com/watch?v=O4rahDYs9-c","Video Solution - Dr Mostafa Saad")</f>
        <v/>
      </c>
      <c r="N58" s="417" t="n"/>
      <c r="O58" s="417" t="n"/>
      <c r="P58" s="417" t="n"/>
      <c r="Q58" s="417" t="n"/>
      <c r="R58" s="417" t="n"/>
      <c r="S58" s="417" t="n"/>
      <c r="T58" s="417" t="n"/>
    </row>
    <row r="59" ht="23.25" customHeight="1" s="279">
      <c r="A59" s="432" t="inlineStr">
        <is>
          <t>Hierarchy</t>
        </is>
      </c>
      <c r="B59" s="316">
        <f>HYPERLINK("http://www.spoj.com/problems/MAKETREE/","SPOJ MAKETREE")</f>
        <v/>
      </c>
      <c r="C59" s="404" t="inlineStr">
        <is>
          <t>AC</t>
        </is>
      </c>
      <c r="D59" s="404" t="n"/>
      <c r="E59" s="404" t="n">
        <v>3</v>
      </c>
      <c r="F59" s="404" t="n">
        <v>33</v>
      </c>
      <c r="G59" s="404" t="n">
        <v>60</v>
      </c>
      <c r="H59" s="404" t="n"/>
      <c r="I59" s="404">
        <f>SUM(E59:H59)</f>
        <v/>
      </c>
      <c r="J59" s="418" t="n"/>
      <c r="K59" s="404" t="n"/>
      <c r="L59" s="433" t="inlineStr">
        <is>
          <t>graphs</t>
        </is>
      </c>
      <c r="M59" s="414" t="inlineStr">
        <is>
          <t>learn tobological sort first</t>
        </is>
      </c>
      <c r="N59" s="441">
        <f>HYPERLINK("https://www.youtube.com/watch?v=Rmi_2e6gt5M","Video Solution - Eng Yahia Ashraf")</f>
        <v/>
      </c>
      <c r="O59" s="414" t="n"/>
      <c r="P59" s="414" t="n"/>
      <c r="Q59" s="414" t="n"/>
      <c r="R59" s="414" t="n"/>
      <c r="S59" s="414" t="n"/>
      <c r="T59" s="414" t="n"/>
    </row>
    <row r="60" ht="15.75" customHeight="1" s="279">
      <c r="A60" s="432" t="inlineStr">
        <is>
          <t>Ordering Tasks</t>
        </is>
      </c>
      <c r="B60" s="316">
        <f>HYPERLINK("https://uva.onlinejudge.org/index.php?option=onlinejudge&amp;page=show_problem&amp;problem=1246","UVA 10305")</f>
        <v/>
      </c>
      <c r="C60" s="404" t="inlineStr">
        <is>
          <t>AC</t>
        </is>
      </c>
      <c r="D60" s="404" t="n"/>
      <c r="E60" s="404" t="n">
        <v>6</v>
      </c>
      <c r="F60" s="404" t="n">
        <v>15</v>
      </c>
      <c r="G60" s="404" t="n">
        <v>45</v>
      </c>
      <c r="H60" s="404" t="n"/>
      <c r="I60" s="404">
        <f>SUM(E60:H60)</f>
        <v/>
      </c>
      <c r="J60" s="418" t="n"/>
      <c r="K60" s="404" t="n"/>
      <c r="L60" s="433" t="inlineStr">
        <is>
          <t>GRAHS</t>
        </is>
      </c>
      <c r="M60" s="422">
        <f>HYPERLINK("https://www.youtube.com/watch?v=4t-4ZC8BRj8","Video Solution - Eng Yahia Ashraf")</f>
        <v/>
      </c>
      <c r="N60" s="414" t="n"/>
      <c r="O60" s="414" t="n"/>
      <c r="P60" s="414" t="n"/>
      <c r="Q60" s="414" t="n"/>
      <c r="R60" s="414" t="n"/>
      <c r="S60" s="414" t="n"/>
      <c r="T60" s="414" t="n"/>
    </row>
    <row r="61" ht="15.75" customHeight="1" s="279">
      <c r="A61" s="295" t="inlineStr">
        <is>
          <t>Even Odds</t>
        </is>
      </c>
      <c r="B61" s="417">
        <f>HYPERLINK("http://codeforces.com/contest/318/problem/A","CF318-D2-A")</f>
        <v/>
      </c>
      <c r="C61" s="404" t="inlineStr">
        <is>
          <t>AC</t>
        </is>
      </c>
      <c r="D61" s="404" t="n">
        <v>1</v>
      </c>
      <c r="E61" s="404" t="n">
        <v>1</v>
      </c>
      <c r="F61" s="404" t="n">
        <v>3</v>
      </c>
      <c r="G61" s="404" t="n">
        <v>40</v>
      </c>
      <c r="H61" s="404" t="n"/>
      <c r="I61" s="404">
        <f>SUM(E61:H61)</f>
        <v/>
      </c>
      <c r="J61" s="418" t="n"/>
      <c r="K61" s="404" t="n"/>
      <c r="L61" s="433" t="inlineStr">
        <is>
          <t>GRAHS</t>
        </is>
      </c>
      <c r="M61" s="417">
        <f>HYPERLINK("https://www.youtube.com/watch?v=w7gZx99Efzs&amp;feature=youtu.be","Video Solution - Eng Muntaser Abukadeja")</f>
        <v/>
      </c>
      <c r="N61" s="417" t="n"/>
      <c r="O61" s="417" t="n"/>
      <c r="P61" s="417" t="n"/>
      <c r="Q61" s="417" t="n"/>
      <c r="R61" s="417" t="n"/>
      <c r="S61" s="417" t="n"/>
      <c r="T61" s="417" t="n"/>
    </row>
    <row r="62" ht="15.75" customHeight="1" s="279">
      <c r="A62" s="295" t="inlineStr">
        <is>
          <t>I Wanna Be the Guy</t>
        </is>
      </c>
      <c r="B62" s="417">
        <f>HYPERLINK("http://codeforces.com/contest/469/problem/A","CF469-D2-A")</f>
        <v/>
      </c>
      <c r="C62" s="433" t="inlineStr">
        <is>
          <t>AC</t>
        </is>
      </c>
      <c r="D62" s="418" t="n">
        <v>1</v>
      </c>
      <c r="E62" s="418" t="n">
        <v>0.5</v>
      </c>
      <c r="F62" s="418" t="n">
        <v>0</v>
      </c>
      <c r="G62" s="418" t="n">
        <v>2.5</v>
      </c>
      <c r="H62" s="418" t="n"/>
      <c r="I62" s="404">
        <f>SUM(E62:H62)</f>
        <v/>
      </c>
      <c r="J62" s="418" t="n"/>
      <c r="K62" s="404" t="n"/>
      <c r="L62" s="418" t="n"/>
      <c r="M62" s="417">
        <f>HYPERLINK("https://www.youtube.com/watch?v=MVHuUdj_CWo","Video Solution - Solver to be (Java)")</f>
        <v/>
      </c>
      <c r="N62" s="417" t="n"/>
      <c r="O62" s="417" t="n"/>
      <c r="P62" s="417" t="n"/>
      <c r="Q62" s="417" t="n"/>
      <c r="R62" s="417" t="n"/>
      <c r="S62" s="417" t="n"/>
      <c r="T62" s="417" t="n"/>
    </row>
    <row r="63" ht="15.75" customHeight="1" s="279">
      <c r="A63" s="295" t="inlineStr">
        <is>
          <t>Is it rated?</t>
        </is>
      </c>
      <c r="B63" s="417">
        <f>HYPERLINK("http://codeforces.com/contest/807/problem/A","CF807-D2-A")</f>
        <v/>
      </c>
      <c r="C63" s="404" t="n"/>
      <c r="D63" s="404" t="n"/>
      <c r="E63" s="404" t="n"/>
      <c r="F63" s="404" t="n"/>
      <c r="G63" s="404" t="n"/>
      <c r="H63" s="404" t="n"/>
      <c r="I63" s="404">
        <f>SUM(E63:H63)</f>
        <v/>
      </c>
      <c r="J63" s="418" t="n"/>
      <c r="K63" s="404" t="n"/>
      <c r="L63" s="418" t="n"/>
      <c r="M63" s="419">
        <f>HYPERLINK("https://www.youtube.com/watch?v=PU-Lg0gs6kY","Video Solution - Solver to be (Java)")</f>
        <v/>
      </c>
      <c r="N63" s="295" t="n"/>
      <c r="O63" s="295" t="n"/>
      <c r="P63" s="295" t="n"/>
      <c r="Q63" s="295" t="n"/>
      <c r="R63" s="295" t="n"/>
      <c r="S63" s="295" t="n"/>
      <c r="T63" s="295" t="n"/>
    </row>
    <row r="64" ht="15.75" customHeight="1" s="279">
      <c r="A64" s="295" t="inlineStr">
        <is>
          <t>Olesya and Rodion</t>
        </is>
      </c>
      <c r="B64" s="417">
        <f>HYPERLINK("http://codeforces.com/contest/584/problem/A","CF584-D2-A")</f>
        <v/>
      </c>
      <c r="C64" s="404" t="n"/>
      <c r="D64" s="404" t="n"/>
      <c r="E64" s="404" t="n"/>
      <c r="F64" s="404" t="n"/>
      <c r="G64" s="404" t="n"/>
      <c r="H64" s="404" t="n"/>
      <c r="I64" s="404">
        <f>SUM(E64:H64)</f>
        <v/>
      </c>
      <c r="J64" s="418" t="n"/>
      <c r="K64" s="404" t="n"/>
      <c r="L64" s="418" t="n"/>
      <c r="M64" s="419">
        <f>HYPERLINK("https://www.youtube.com/watch?v=U3bX6kIGDG8","Video Solution - Solver to be (Java)")</f>
        <v/>
      </c>
      <c r="N64" s="295" t="n"/>
      <c r="O64" s="295" t="n"/>
      <c r="P64" s="295" t="n"/>
      <c r="Q64" s="295" t="n"/>
      <c r="R64" s="295" t="n"/>
      <c r="S64" s="295" t="n"/>
      <c r="T64" s="295" t="n"/>
    </row>
    <row r="65" ht="15.75" customHeight="1" s="279">
      <c r="A65" s="420" t="inlineStr">
        <is>
          <t>Football</t>
        </is>
      </c>
      <c r="B65" s="421">
        <f>HYPERLINK("http://codeforces.com/contest/43/problem/A","CF43-D2-A")</f>
        <v/>
      </c>
      <c r="C65" s="404" t="inlineStr">
        <is>
          <t>AC</t>
        </is>
      </c>
      <c r="D65" s="404" t="n">
        <v>1</v>
      </c>
      <c r="E65" s="404" t="n">
        <v>1</v>
      </c>
      <c r="F65" s="404" t="n">
        <v>0</v>
      </c>
      <c r="G65" s="404" t="n">
        <v>1</v>
      </c>
      <c r="H65" s="404" t="n"/>
      <c r="I65" s="404">
        <f>SUM(E65:H65)</f>
        <v/>
      </c>
      <c r="J65" s="418" t="n"/>
      <c r="K65" s="404" t="n"/>
      <c r="L65" s="418" t="n"/>
      <c r="M65" s="419">
        <f>HYPERLINK("https://www.youtube.com/watch?v=fUOco0Vz584&amp;feature=youtu.be","Video Solution - Eng Belal Abdulnasser (Python)")</f>
        <v/>
      </c>
      <c r="N65" s="295" t="n"/>
      <c r="O65" s="295" t="n"/>
      <c r="P65" s="295" t="n"/>
      <c r="Q65" s="295" t="n"/>
      <c r="R65" s="295" t="n"/>
      <c r="S65" s="295" t="n"/>
      <c r="T65" s="295" t="n"/>
    </row>
    <row r="66" ht="15.75" customHeight="1" s="279">
      <c r="A66" s="442" t="inlineStr">
        <is>
          <t>Brain's Photos</t>
        </is>
      </c>
      <c r="B66" s="443">
        <f>HYPERLINK("http://codeforces.com/contest/707/problem/A","CF707-D2-A")</f>
        <v/>
      </c>
      <c r="C66" s="444" t="n"/>
      <c r="D66" s="444" t="n"/>
      <c r="E66" s="444" t="n"/>
      <c r="F66" s="444" t="n"/>
      <c r="G66" s="444" t="n"/>
      <c r="H66" s="444" t="n"/>
      <c r="I66" s="444">
        <f>SUM(E66:H66)</f>
        <v/>
      </c>
      <c r="J66" s="445" t="n"/>
      <c r="K66" s="444" t="n"/>
      <c r="L66" s="445" t="n"/>
      <c r="M66" s="446">
        <f>HYPERLINK("https://www.youtube.com/watch?v=cCraOn4wjAs","Video Solution - Solver to be (Java)")</f>
        <v/>
      </c>
      <c r="N66" s="447" t="n"/>
      <c r="O66" s="447" t="n"/>
      <c r="P66" s="447" t="n"/>
      <c r="Q66" s="447" t="n"/>
      <c r="R66" s="447" t="n"/>
      <c r="S66" s="447" t="n"/>
      <c r="T66" s="447" t="n"/>
    </row>
    <row r="67" ht="15.75" customHeight="1" s="279">
      <c r="A67" s="420" t="inlineStr">
        <is>
          <t>Dubstep</t>
        </is>
      </c>
      <c r="B67" s="421">
        <f>HYPERLINK("http://codeforces.com/contest/208/problem/A","CF208-D2-A")</f>
        <v/>
      </c>
      <c r="C67" s="404" t="inlineStr">
        <is>
          <t>ac</t>
        </is>
      </c>
      <c r="D67" s="404" t="n"/>
      <c r="E67" s="404" t="n"/>
      <c r="F67" s="404" t="n"/>
      <c r="G67" s="404" t="n"/>
      <c r="H67" s="404" t="n"/>
      <c r="I67" s="404">
        <f>SUM(E67:H67)</f>
        <v/>
      </c>
      <c r="J67" s="418" t="n"/>
      <c r="K67" s="404" t="n"/>
      <c r="L67" s="418" t="n"/>
      <c r="M67" s="419">
        <f>HYPERLINK("https://www.youtube.com/watch?v=M4umpd8utSA","Video Solution - Solver to be (Java)")</f>
        <v/>
      </c>
      <c r="N67" s="295" t="n"/>
      <c r="O67" s="295" t="n"/>
      <c r="P67" s="295" t="n"/>
      <c r="Q67" s="295" t="n"/>
      <c r="R67" s="295" t="n"/>
      <c r="S67" s="295" t="n"/>
      <c r="T67" s="295" t="n"/>
    </row>
    <row r="68" ht="15.75" customHeight="1" s="279">
      <c r="A68" s="295" t="inlineStr">
        <is>
          <t>Valera and X</t>
        </is>
      </c>
      <c r="B68" s="417">
        <f>HYPERLINK("http://codeforces.com/contest/404/problem/A","CF404-D2-A")</f>
        <v/>
      </c>
      <c r="C68" s="418" t="n"/>
      <c r="D68" s="418" t="n"/>
      <c r="E68" s="418" t="n"/>
      <c r="F68" s="418" t="n"/>
      <c r="G68" s="418" t="n"/>
      <c r="H68" s="418" t="n"/>
      <c r="I68" s="404">
        <f>SUM(E68:H68)</f>
        <v/>
      </c>
      <c r="J68" s="418" t="n"/>
      <c r="K68" s="418" t="n"/>
      <c r="L68" s="418" t="n"/>
      <c r="M68" s="417">
        <f>HYPERLINK("https://www.youtube.com/watch?v=vLEXMm860gQ","Video Solution - Solver to be (Java)")</f>
        <v/>
      </c>
      <c r="N68" s="417" t="n"/>
      <c r="O68" s="417" t="n"/>
      <c r="P68" s="417" t="n"/>
      <c r="Q68" s="417" t="n"/>
      <c r="R68" s="417" t="n"/>
      <c r="S68" s="417" t="n"/>
      <c r="T68" s="417" t="n"/>
    </row>
    <row r="69" ht="15.75" customHeight="1" s="279">
      <c r="A69" s="295" t="inlineStr">
        <is>
          <t>Arpa’s hard exam and Mehrdad’s naive cheat</t>
        </is>
      </c>
      <c r="B69" s="417">
        <f>HYPERLINK("http://codeforces.com/contest/742/problem/A","CF742-D2-A")</f>
        <v/>
      </c>
      <c r="C69" s="418" t="n"/>
      <c r="D69" s="418" t="n"/>
      <c r="E69" s="418" t="n"/>
      <c r="F69" s="418" t="n"/>
      <c r="G69" s="418" t="n"/>
      <c r="H69" s="418" t="n"/>
      <c r="I69" s="404">
        <f>SUM(E69:H69)</f>
        <v/>
      </c>
      <c r="J69" s="418" t="n"/>
      <c r="K69" s="418" t="n"/>
      <c r="L69" s="418" t="n"/>
      <c r="M69" s="417">
        <f>HYPERLINK("https://www.youtube.com/watch?v=kdJGLjKy54o","Video Solution - Solver to be (Java)")</f>
        <v/>
      </c>
      <c r="N69" s="417" t="n"/>
      <c r="O69" s="417" t="n"/>
      <c r="P69" s="417" t="n"/>
      <c r="Q69" s="417" t="n"/>
      <c r="R69" s="417" t="n"/>
      <c r="S69" s="417" t="n"/>
      <c r="T69" s="417" t="n"/>
    </row>
    <row r="70" ht="15.75" customHeight="1" s="279">
      <c r="A70" s="295" t="inlineStr">
        <is>
          <t>Calculating Function</t>
        </is>
      </c>
      <c r="B70" s="417">
        <f>HYPERLINK("http://codeforces.com/contest/486/problem/A","CF486-D2-A")</f>
        <v/>
      </c>
      <c r="C70" s="418" t="n"/>
      <c r="D70" s="418" t="n"/>
      <c r="E70" s="418" t="n"/>
      <c r="F70" s="418" t="n"/>
      <c r="G70" s="418" t="n"/>
      <c r="H70" s="418" t="n"/>
      <c r="I70" s="404">
        <f>SUM(E70:H70)</f>
        <v/>
      </c>
      <c r="J70" s="418" t="n"/>
      <c r="K70" s="418" t="n"/>
      <c r="L70" s="418" t="n"/>
      <c r="M70" s="417">
        <f>HYPERLINK("https://www.youtube.com/watch?v=IByiomshI2o","Video Solution - Solver to be (Java)")</f>
        <v/>
      </c>
      <c r="N70" s="417" t="n"/>
      <c r="O70" s="417" t="n"/>
      <c r="P70" s="417" t="n"/>
      <c r="Q70" s="417" t="n"/>
      <c r="R70" s="417" t="n"/>
      <c r="S70" s="417" t="n"/>
      <c r="T70" s="417" t="n"/>
    </row>
    <row r="71" ht="15.75" customHeight="1" s="279">
      <c r="A71" s="295" t="inlineStr">
        <is>
          <t>Theatre Square</t>
        </is>
      </c>
      <c r="B71" s="417">
        <f>HYPERLINK("http://codeforces.com/contest/1/problem/A","CF1-D12-A")</f>
        <v/>
      </c>
      <c r="C71" s="418" t="n"/>
      <c r="D71" s="418" t="n"/>
      <c r="E71" s="418" t="n"/>
      <c r="F71" s="418" t="n"/>
      <c r="G71" s="418" t="n"/>
      <c r="H71" s="418" t="n"/>
      <c r="I71" s="404">
        <f>SUM(E71:H71)</f>
        <v/>
      </c>
      <c r="J71" s="418" t="n"/>
      <c r="K71" s="418" t="n"/>
      <c r="L71" s="418" t="n"/>
      <c r="M71" s="417">
        <f>HYPERLINK("https://www.youtube.com/watch?v=C5qZwZYPMJY","Video Solution - Solver to be (Java)")</f>
        <v/>
      </c>
      <c r="N71" s="417" t="n"/>
      <c r="O71" s="417" t="n"/>
      <c r="P71" s="417" t="n"/>
      <c r="Q71" s="417" t="n"/>
      <c r="R71" s="417" t="n"/>
      <c r="S71" s="417" t="n"/>
      <c r="T71" s="417" t="n"/>
    </row>
    <row r="72" ht="15.75" customHeight="1" s="279">
      <c r="A72" s="295" t="inlineStr">
        <is>
          <t>Anton and Polyhedrons</t>
        </is>
      </c>
      <c r="B72" s="417">
        <f>HYPERLINK("http://codeforces.com/contest/785/problem/A","CF785-D2-A")</f>
        <v/>
      </c>
      <c r="C72" s="433" t="inlineStr">
        <is>
          <t>AC</t>
        </is>
      </c>
      <c r="D72" s="418" t="n">
        <v>1</v>
      </c>
      <c r="E72" s="418" t="n"/>
      <c r="F72" s="418" t="n"/>
      <c r="G72" s="418" t="n">
        <v>5</v>
      </c>
      <c r="H72" s="418" t="n"/>
      <c r="I72" s="404">
        <f>SUM(E72:H72)</f>
        <v/>
      </c>
      <c r="J72" s="418" t="n"/>
      <c r="K72" s="418" t="n"/>
      <c r="L72" s="433" t="inlineStr">
        <is>
          <t>adhoc</t>
        </is>
      </c>
      <c r="M72" s="417">
        <f>HYPERLINK("https://www.youtube.com/watch?v=PgEnG308Hf4","Video Solution - Solver to be (Java)")</f>
        <v/>
      </c>
      <c r="N72" s="417" t="n"/>
      <c r="O72" s="417" t="n"/>
      <c r="P72" s="417" t="n"/>
      <c r="Q72" s="417" t="n"/>
      <c r="R72" s="417" t="n"/>
      <c r="S72" s="417" t="n"/>
      <c r="T72" s="417" t="n"/>
    </row>
    <row r="73" ht="15.75" customHeight="1" s="279">
      <c r="A73" s="295" t="inlineStr">
        <is>
          <t>Panoramix's Prediction</t>
        </is>
      </c>
      <c r="B73" s="417">
        <f>HYPERLINK("http://codeforces.com/contest/80/problem/A","CF80-D2-A")</f>
        <v/>
      </c>
      <c r="C73" s="418" t="n"/>
      <c r="D73" s="418" t="n"/>
      <c r="E73" s="418" t="n"/>
      <c r="F73" s="418" t="n"/>
      <c r="G73" s="418" t="n"/>
      <c r="H73" s="418" t="n"/>
      <c r="I73" s="404">
        <f>SUM(E73:H73)</f>
        <v/>
      </c>
      <c r="J73" s="418" t="n"/>
      <c r="K73" s="418" t="n"/>
      <c r="L73" s="418" t="n"/>
      <c r="M73" s="417">
        <f>HYPERLINK("https://www.youtube.com/watch?v=eBT7tgXcd2I","Video Solution - Solver to be (Java)")</f>
        <v/>
      </c>
      <c r="N73" s="417" t="n"/>
      <c r="O73" s="417" t="n"/>
      <c r="P73" s="417" t="n"/>
      <c r="Q73" s="417" t="n"/>
      <c r="R73" s="417" t="n"/>
      <c r="S73" s="417" t="n"/>
      <c r="T73" s="417" t="n"/>
    </row>
    <row r="74" ht="15.75" customHeight="1" s="279">
      <c r="A74" s="295" t="inlineStr">
        <is>
          <t>Counterexample</t>
        </is>
      </c>
      <c r="B74" s="417">
        <f>HYPERLINK("http://codeforces.com/contest/483/problem/A","CF483-D2-A")</f>
        <v/>
      </c>
      <c r="C74" s="418" t="n"/>
      <c r="D74" s="418" t="n"/>
      <c r="E74" s="418" t="n"/>
      <c r="F74" s="418" t="n"/>
      <c r="G74" s="418" t="n"/>
      <c r="H74" s="418" t="n"/>
      <c r="I74" s="404">
        <f>SUM(E74:H74)</f>
        <v/>
      </c>
      <c r="J74" s="418" t="n"/>
      <c r="K74" s="418" t="n"/>
      <c r="L74" s="418" t="n"/>
      <c r="M74" s="417">
        <f>HYPERLINK("https://www.youtube.com/watch?v=hWzHWVd9jI8","Video Solution - Solver to be (Java)")</f>
        <v/>
      </c>
      <c r="N74" s="417" t="n"/>
      <c r="O74" s="417" t="n"/>
      <c r="P74" s="417" t="n"/>
      <c r="Q74" s="417" t="n"/>
      <c r="R74" s="417" t="n"/>
      <c r="S74" s="417" t="n"/>
      <c r="T74" s="417" t="n"/>
    </row>
    <row r="75" ht="15.75" customHeight="1" s="279">
      <c r="A75" s="416" t="n"/>
      <c r="B75" s="448" t="n"/>
      <c r="C75" s="404" t="n"/>
      <c r="D75" s="404" t="n"/>
      <c r="E75" s="404" t="n"/>
      <c r="F75" s="404" t="n"/>
      <c r="G75" s="404" t="n"/>
      <c r="H75" s="404" t="n"/>
      <c r="I75" s="404">
        <f>SUM(E75:H75)</f>
        <v/>
      </c>
      <c r="J75" s="404" t="n"/>
      <c r="K75" s="404" t="n"/>
      <c r="L75" s="404" t="n"/>
      <c r="M75" s="424" t="n"/>
      <c r="N75" s="424" t="n"/>
      <c r="O75" s="424" t="n"/>
      <c r="P75" s="424" t="n"/>
      <c r="Q75" s="424" t="n"/>
      <c r="R75" s="424" t="n"/>
      <c r="S75" s="424" t="n"/>
      <c r="T75" s="424" t="n"/>
    </row>
    <row r="76" ht="15.75" customHeight="1" s="279">
      <c r="A76" s="295" t="n"/>
      <c r="B76" s="295" t="n"/>
      <c r="C76" s="418" t="n"/>
      <c r="D76" s="418" t="n"/>
      <c r="E76" s="418" t="n"/>
      <c r="F76" s="418" t="n"/>
      <c r="G76" s="418" t="n"/>
      <c r="H76" s="418" t="n"/>
      <c r="I76" s="404">
        <f>SUM(E76:H76)</f>
        <v/>
      </c>
      <c r="J76" s="418" t="n"/>
      <c r="K76" s="418" t="n"/>
      <c r="L76" s="418" t="n"/>
      <c r="M76" s="430">
        <f>HYPERLINK("https://www.youtube.com/watch?v=EQzmtn4PzYQ","Watch - Measuring Algorithms Perfromance - 1")</f>
        <v/>
      </c>
      <c r="N76" s="430" t="n"/>
      <c r="O76" s="430" t="n"/>
      <c r="P76" s="430" t="n"/>
      <c r="Q76" s="430" t="n"/>
      <c r="R76" s="430" t="n"/>
      <c r="S76" s="430" t="n"/>
      <c r="T76" s="430" t="n"/>
    </row>
    <row r="77" ht="15.75" customHeight="1" s="279">
      <c r="A77" s="416" t="n"/>
      <c r="B77" s="448" t="n"/>
      <c r="C77" s="404" t="n"/>
      <c r="D77" s="404" t="n"/>
      <c r="E77" s="404" t="n"/>
      <c r="F77" s="404" t="n"/>
      <c r="G77" s="404" t="n"/>
      <c r="H77" s="404" t="n"/>
      <c r="I77" s="404">
        <f>SUM(E77:H77)</f>
        <v/>
      </c>
      <c r="J77" s="404" t="n"/>
      <c r="K77" s="404" t="n"/>
      <c r="L77" s="404" t="n"/>
      <c r="M77" s="424">
        <f>HYPERLINK("https://www.youtube.com/watch?v=XhVmgLXYvuQ","Watch - Computational Geometry - Intro")</f>
        <v/>
      </c>
      <c r="N77" s="424" t="n"/>
      <c r="O77" s="424" t="n"/>
      <c r="P77" s="424" t="n"/>
      <c r="Q77" s="424" t="n"/>
      <c r="R77" s="424" t="n"/>
      <c r="S77" s="424" t="n"/>
      <c r="T77" s="424" t="n"/>
    </row>
    <row r="78" ht="15.75" customHeight="1" s="279">
      <c r="A78" s="407" t="n"/>
      <c r="B78" s="407" t="n"/>
      <c r="C78" s="404" t="n"/>
      <c r="D78" s="404" t="n"/>
      <c r="E78" s="404" t="n"/>
      <c r="F78" s="404" t="n"/>
      <c r="G78" s="404" t="n"/>
      <c r="H78" s="404" t="n"/>
      <c r="I78" s="404">
        <f>SUM(E78:H78)</f>
        <v/>
      </c>
      <c r="J78" s="404" t="n"/>
      <c r="K78" s="404" t="n"/>
      <c r="L78" s="404" t="n"/>
      <c r="M78" s="424">
        <f>HYPERLINK("https://www.youtube.com/watch?v=2CUN12WrNr4","Watch - Computational Geometry - Point and Vector")</f>
        <v/>
      </c>
      <c r="N78" s="424" t="n"/>
      <c r="O78" s="424" t="n"/>
      <c r="P78" s="424" t="n"/>
      <c r="Q78" s="424" t="n"/>
      <c r="R78" s="424" t="n"/>
      <c r="S78" s="424" t="n"/>
      <c r="T78" s="424" t="n"/>
    </row>
    <row r="79" ht="15.75" customHeight="1" s="279">
      <c r="A79" s="449" t="inlineStr">
        <is>
          <t>Wasted Time</t>
        </is>
      </c>
      <c r="B79" s="450">
        <f>HYPERLINK("http://codeforces.com/contest/127/problem/A","CF127-D2-A")</f>
        <v/>
      </c>
      <c r="C79" s="404" t="inlineStr">
        <is>
          <t>AC</t>
        </is>
      </c>
      <c r="D79" s="404" t="n">
        <v>1</v>
      </c>
      <c r="E79" s="404" t="n">
        <v>3</v>
      </c>
      <c r="F79" s="404" t="n">
        <v>4</v>
      </c>
      <c r="G79" s="404" t="n">
        <v>8</v>
      </c>
      <c r="H79" s="404" t="n"/>
      <c r="I79" s="404">
        <f>SUM(E79:H79)</f>
        <v/>
      </c>
      <c r="J79" s="418" t="n">
        <v>2</v>
      </c>
      <c r="K79" s="404" t="n"/>
      <c r="L79" s="433" t="inlineStr">
        <is>
          <t>math</t>
        </is>
      </c>
      <c r="M79" s="301" t="inlineStr">
        <is>
          <t xml:space="preserve">man i havent calc the distence betwean two points in a very long time </t>
        </is>
      </c>
      <c r="N79" s="295" t="n"/>
      <c r="O79" s="295" t="n"/>
      <c r="P79" s="295" t="n"/>
      <c r="Q79" s="295" t="n"/>
      <c r="R79" s="295" t="n"/>
      <c r="S79" s="295" t="n"/>
      <c r="T79" s="295" t="n"/>
    </row>
    <row r="80" ht="30.75" customHeight="1" s="279">
      <c r="A80" s="449" t="inlineStr">
        <is>
          <t>Points in Figures: Rectangles</t>
        </is>
      </c>
      <c r="B80" s="450">
        <f>HYPERLINK("https://uva.onlinejudge.org/index.php?option=onlinejudge&amp;page=show_problem&amp;problem=417","UVA 476")</f>
        <v/>
      </c>
      <c r="C80" s="404" t="inlineStr">
        <is>
          <t>AC</t>
        </is>
      </c>
      <c r="D80" s="404" t="n">
        <v>2</v>
      </c>
      <c r="E80" s="404" t="n">
        <v>3</v>
      </c>
      <c r="F80" s="404" t="n">
        <v>8</v>
      </c>
      <c r="G80" s="404" t="n">
        <v>23</v>
      </c>
      <c r="H80" s="404" t="n">
        <v>13</v>
      </c>
      <c r="I80" s="404">
        <f>SUM(E80:H80)</f>
        <v/>
      </c>
      <c r="J80" s="451" t="n">
        <v>2</v>
      </c>
      <c r="K80" s="404" t="inlineStr">
        <is>
          <t>YES</t>
        </is>
      </c>
      <c r="L80" s="452" t="inlineStr">
        <is>
          <t>math ,implemention</t>
        </is>
      </c>
      <c r="M80" s="407" t="inlineStr">
        <is>
          <t>i am stupid it is very simple but well math</t>
        </is>
      </c>
      <c r="N80" s="407" t="n"/>
      <c r="O80" s="407" t="n"/>
      <c r="P80" s="407" t="n"/>
      <c r="Q80" s="407" t="n"/>
      <c r="R80" s="407" t="n"/>
      <c r="S80" s="407" t="n"/>
      <c r="T80" s="407" t="n"/>
    </row>
    <row r="81" ht="15.75" customHeight="1" s="279">
      <c r="A81" s="449" t="inlineStr">
        <is>
          <t>Overlapping Rectangles</t>
        </is>
      </c>
      <c r="B81" s="450">
        <f>HYPERLINK("https://uva.onlinejudge.org/index.php?option=onlinejudge&amp;page=show_problem&amp;problem=401","UVA 460")</f>
        <v/>
      </c>
      <c r="C81" s="404" t="inlineStr">
        <is>
          <t>AC</t>
        </is>
      </c>
      <c r="D81" s="404" t="n">
        <v>3</v>
      </c>
      <c r="E81" s="404" t="n">
        <v>3</v>
      </c>
      <c r="F81" s="404" t="n">
        <v>8</v>
      </c>
      <c r="G81" s="404" t="n">
        <v>27</v>
      </c>
      <c r="H81" s="404" t="n"/>
      <c r="I81" s="404">
        <f>SUM(E81:H81)</f>
        <v/>
      </c>
      <c r="J81" s="451" t="n">
        <v>2</v>
      </c>
      <c r="K81" s="404" t="inlineStr">
        <is>
          <t>YES</t>
        </is>
      </c>
      <c r="L81" s="452" t="n"/>
      <c r="M81" s="407" t="inlineStr">
        <is>
          <t xml:space="preserve">it is getting late and i am getting stupider </t>
        </is>
      </c>
      <c r="N81" s="453">
        <f>HYPERLINK("https://www.youtube.com/watch?v=NOZxcOu25Iw","Video Solution - Eng Muntaser Abukadeja")</f>
        <v/>
      </c>
      <c r="O81" s="407" t="n"/>
      <c r="P81" s="407" t="n"/>
      <c r="Q81" s="407" t="n"/>
      <c r="R81" s="407" t="n"/>
      <c r="S81" s="407" t="n"/>
      <c r="T81" s="407" t="n"/>
    </row>
    <row r="82" ht="15.75" customHeight="1" s="279">
      <c r="A82" s="449" t="inlineStr">
        <is>
          <t>Fancy Fence</t>
        </is>
      </c>
      <c r="B82" s="450">
        <f>HYPERLINK("http://codeforces.com/contest/270/problem/A","CF270-D2-A")</f>
        <v/>
      </c>
      <c r="C82" s="404" t="inlineStr">
        <is>
          <t>AC</t>
        </is>
      </c>
      <c r="D82" s="404" t="n">
        <v>1</v>
      </c>
      <c r="E82" s="404" t="n">
        <v>1</v>
      </c>
      <c r="F82" s="404" t="n">
        <v>6</v>
      </c>
      <c r="G82" s="404" t="n">
        <v>1</v>
      </c>
      <c r="H82" s="404" t="n"/>
      <c r="I82" s="404">
        <f>SUM(E82:H82)</f>
        <v/>
      </c>
      <c r="J82" s="418" t="n">
        <v>1</v>
      </c>
      <c r="K82" s="404" t="inlineStr">
        <is>
          <t>YES</t>
        </is>
      </c>
      <c r="L82" s="433" t="inlineStr">
        <is>
          <t>geometry</t>
        </is>
      </c>
      <c r="M82" s="419">
        <f>HYPERLINK("https://www.youtube.com/watch?v=ShgpJWttyxw","Video Solution - Eng Omar Ashraf")</f>
        <v/>
      </c>
      <c r="N82" s="295" t="n"/>
      <c r="O82" s="295" t="n"/>
      <c r="P82" s="295" t="n"/>
      <c r="Q82" s="295" t="n"/>
      <c r="R82" s="295" t="n"/>
      <c r="S82" s="295" t="n"/>
      <c r="T82" s="295" t="n"/>
    </row>
    <row r="83" ht="15.75" customHeight="1" s="279">
      <c r="A83" s="449" t="inlineStr">
        <is>
          <t>Pouring Rain</t>
        </is>
      </c>
      <c r="B83" s="450">
        <f>HYPERLINK("http://codeforces.com/contest/667/problem/A","CF667-D2-A")</f>
        <v/>
      </c>
      <c r="C83" s="404" t="inlineStr">
        <is>
          <t>AC</t>
        </is>
      </c>
      <c r="D83" s="404" t="n">
        <v>1</v>
      </c>
      <c r="E83" s="404" t="n">
        <v>4</v>
      </c>
      <c r="F83" s="404" t="n">
        <v>8</v>
      </c>
      <c r="G83" s="404" t="n">
        <v>16</v>
      </c>
      <c r="H83" s="404" t="n"/>
      <c r="I83" s="404">
        <f>SUM(E83:H83)</f>
        <v/>
      </c>
      <c r="J83" s="418" t="n">
        <v>2</v>
      </c>
      <c r="K83" s="404" t="inlineStr">
        <is>
          <t>YES</t>
        </is>
      </c>
      <c r="L83" s="433" t="inlineStr">
        <is>
          <t>geometry</t>
        </is>
      </c>
      <c r="M83" s="295" t="n"/>
      <c r="N83" s="295" t="n"/>
      <c r="O83" s="295" t="n"/>
      <c r="P83" s="295" t="n"/>
      <c r="Q83" s="295" t="n"/>
      <c r="R83" s="295" t="n"/>
      <c r="S83" s="295" t="n"/>
      <c r="T83" s="295" t="n"/>
    </row>
    <row r="84" ht="15.75" customHeight="1" s="279">
      <c r="A84" s="449" t="inlineStr">
        <is>
          <t>Fourth Point !!</t>
        </is>
      </c>
      <c r="B84" s="450">
        <f>HYPERLINK("https://uva.onlinejudge.org/index.php?option=onlinejudge&amp;page=show_problem&amp;problem=1183","UVA 10242")</f>
        <v/>
      </c>
      <c r="C84" s="404" t="inlineStr">
        <is>
          <t>AC</t>
        </is>
      </c>
      <c r="D84" s="404" t="n">
        <v>2</v>
      </c>
      <c r="E84" s="404" t="n">
        <v>1</v>
      </c>
      <c r="F84" s="404" t="n">
        <v>8</v>
      </c>
      <c r="G84" s="404" t="n">
        <v>5</v>
      </c>
      <c r="H84" s="404" t="n">
        <v>13</v>
      </c>
      <c r="I84" s="404">
        <f>SUM(E84:H84)</f>
        <v/>
      </c>
      <c r="J84" s="451" t="n">
        <v>2</v>
      </c>
      <c r="K84" s="404" t="inlineStr">
        <is>
          <t>YES</t>
        </is>
      </c>
      <c r="L84" s="452" t="inlineStr">
        <is>
          <t>geometry</t>
        </is>
      </c>
      <c r="M84" s="453">
        <f>HYPERLINK("https://www.youtube.com/watch?v=QkYkuhUHMQA&amp;feature=youtu.be","Video Solution - Eng Magdy Hasan")</f>
        <v/>
      </c>
      <c r="N84" s="407" t="n"/>
      <c r="O84" s="407" t="n"/>
      <c r="P84" s="407" t="n"/>
      <c r="Q84" s="407" t="n"/>
      <c r="R84" s="407" t="n"/>
      <c r="S84" s="407" t="n"/>
      <c r="T84" s="407" t="n"/>
    </row>
    <row r="85" ht="15.75" customHeight="1" s="279">
      <c r="A85" s="407" t="n"/>
      <c r="B85" s="407" t="n"/>
      <c r="C85" s="404" t="n"/>
      <c r="D85" s="404" t="n"/>
      <c r="E85" s="404" t="n"/>
      <c r="F85" s="404" t="n"/>
      <c r="G85" s="404" t="n"/>
      <c r="H85" s="404" t="n"/>
      <c r="I85" s="404">
        <f>SUM(E85:H85)</f>
        <v/>
      </c>
      <c r="J85" s="451" t="n"/>
      <c r="K85" s="404" t="n"/>
      <c r="L85" s="452" t="n"/>
      <c r="M85" s="407" t="n"/>
      <c r="N85" s="407" t="n"/>
      <c r="O85" s="407" t="n"/>
      <c r="P85" s="407" t="n"/>
      <c r="Q85" s="407" t="n"/>
      <c r="R85" s="407" t="n"/>
      <c r="S85" s="407" t="n"/>
      <c r="T85" s="407" t="n"/>
    </row>
    <row r="86" ht="15.75" customHeight="1" s="279">
      <c r="A86" s="423" t="inlineStr">
        <is>
          <t>Good Number</t>
        </is>
      </c>
      <c r="B86" s="408">
        <f>HYPERLINK("http://codeforces.com/contest/365/problem/A","CF365-D2-A")</f>
        <v/>
      </c>
      <c r="C86" s="404" t="inlineStr">
        <is>
          <t>AC</t>
        </is>
      </c>
      <c r="D86" s="404" t="n">
        <v>5</v>
      </c>
      <c r="E86" s="404" t="n">
        <v>0.5</v>
      </c>
      <c r="F86" s="404" t="n"/>
      <c r="G86" s="404" t="n">
        <v>30</v>
      </c>
      <c r="H86" s="404" t="n"/>
      <c r="I86" s="404">
        <f>SUM(E86:H86)</f>
        <v/>
      </c>
      <c r="J86" s="451" t="n">
        <v>1</v>
      </c>
      <c r="K86" s="404" t="n"/>
      <c r="L86" s="452" t="inlineStr">
        <is>
          <t>adhoc</t>
        </is>
      </c>
      <c r="M86" s="453">
        <f>HYPERLINK("https://www.youtube.com/watch?v=W5SLLnni1KM&amp;feature=youtu.be","Video Solution - Eng Muntaser Abukadeja")</f>
        <v/>
      </c>
      <c r="N86" s="407" t="n"/>
      <c r="O86" s="407" t="n"/>
      <c r="P86" s="407" t="n"/>
      <c r="Q86" s="407" t="n"/>
      <c r="R86" s="407" t="n"/>
      <c r="S86" s="407" t="n"/>
      <c r="T86" s="407" t="n"/>
    </row>
    <row r="87" ht="15.75" customHeight="1" s="279">
      <c r="A87" s="423" t="inlineStr">
        <is>
          <t>Dice Tower</t>
        </is>
      </c>
      <c r="B87" s="408">
        <f>HYPERLINK("http://codeforces.com/contest/225/problem/A","CF225-D2-A")</f>
        <v/>
      </c>
      <c r="C87" s="404" t="n"/>
      <c r="D87" s="404" t="n"/>
      <c r="E87" s="404" t="n"/>
      <c r="F87" s="404" t="n"/>
      <c r="G87" s="404" t="n"/>
      <c r="H87" s="404" t="n"/>
      <c r="I87" s="404">
        <f>SUM(E87:H87)</f>
        <v/>
      </c>
      <c r="J87" s="451" t="n"/>
      <c r="K87" s="404" t="n"/>
      <c r="L87" s="452" t="n"/>
      <c r="M87" s="453">
        <f>HYPERLINK("https://www.youtube.com/watch?v=AU4cdWZrKNA&amp;feature=youtu.be","Video Solution - Eng Muntaser Abukadeja")</f>
        <v/>
      </c>
      <c r="N87" s="407" t="n"/>
      <c r="O87" s="407" t="n"/>
      <c r="P87" s="407" t="n"/>
      <c r="Q87" s="407" t="n"/>
      <c r="R87" s="407" t="n"/>
      <c r="S87" s="407" t="n"/>
      <c r="T87" s="407" t="n"/>
    </row>
    <row r="88" ht="15.75" customHeight="1" s="279">
      <c r="A88" s="423" t="inlineStr">
        <is>
          <t>Alyona and Numbers</t>
        </is>
      </c>
      <c r="B88" s="408">
        <f>HYPERLINK("http://codeforces.com/contest/682/problem/A","CF682-D2-A")</f>
        <v/>
      </c>
      <c r="C88" s="404" t="inlineStr">
        <is>
          <t>AC</t>
        </is>
      </c>
      <c r="D88" s="404" t="n">
        <v>1</v>
      </c>
      <c r="E88" s="404" t="n">
        <v>1</v>
      </c>
      <c r="F88" s="404" t="n">
        <v>4</v>
      </c>
      <c r="G88" s="404" t="n">
        <v>1</v>
      </c>
      <c r="H88" s="404" t="n"/>
      <c r="I88" s="404">
        <f>SUM(E88:H88)</f>
        <v/>
      </c>
      <c r="J88" s="451" t="n"/>
      <c r="K88" s="404" t="n"/>
      <c r="L88" s="452" t="n"/>
      <c r="M88" s="453">
        <f>HYPERLINK("https://www.youtube.com/watch?v=05ZIXw2G4Pw&amp;feature=youtu.be","Video Solution - Eng John Gamal")</f>
        <v/>
      </c>
      <c r="N88" s="407" t="n"/>
      <c r="O88" s="407" t="n"/>
      <c r="P88" s="407" t="n"/>
      <c r="Q88" s="407" t="n"/>
      <c r="R88" s="407" t="n"/>
      <c r="S88" s="407" t="n"/>
      <c r="T88" s="407" t="n"/>
    </row>
    <row r="89" ht="15.75" customHeight="1" s="279">
      <c r="A89" s="423" t="inlineStr">
        <is>
          <t>Mountain Scenery</t>
        </is>
      </c>
      <c r="B89" s="408">
        <f>HYPERLINK("http://codeforces.com/contest/218/problem/A","CF218-D2-A")</f>
        <v/>
      </c>
      <c r="C89" s="404" t="n"/>
      <c r="D89" s="404" t="n"/>
      <c r="E89" s="404" t="n"/>
      <c r="F89" s="404" t="n"/>
      <c r="G89" s="404" t="n"/>
      <c r="H89" s="404" t="n"/>
      <c r="I89" s="404">
        <f>SUM(E89:H89)</f>
        <v/>
      </c>
      <c r="J89" s="451" t="n"/>
      <c r="K89" s="404" t="n"/>
      <c r="L89" s="452" t="n"/>
      <c r="M89" s="453">
        <f>HYPERLINK("https://www.youtube.com/watch?v=qmGhxFPv5GI&amp;feature=youtu.be","Video Solution - Eng John Gamal")</f>
        <v/>
      </c>
      <c r="N89" s="407" t="n"/>
      <c r="O89" s="407" t="n"/>
      <c r="P89" s="407" t="n"/>
      <c r="Q89" s="407" t="n"/>
      <c r="R89" s="407" t="n"/>
      <c r="S89" s="407" t="n"/>
      <c r="T89" s="407" t="n"/>
    </row>
    <row r="90" ht="15.75" customHeight="1" s="279">
      <c r="A90" s="423" t="inlineStr">
        <is>
          <t>Help Vasilisa the Wise 2</t>
        </is>
      </c>
      <c r="B90" s="408">
        <f>HYPERLINK("http://codeforces.com/contest/143/problem/A","CF143-D2-A")</f>
        <v/>
      </c>
      <c r="C90" s="404" t="n"/>
      <c r="D90" s="404" t="n"/>
      <c r="E90" s="404" t="n"/>
      <c r="F90" s="404" t="n"/>
      <c r="G90" s="404" t="n"/>
      <c r="H90" s="404" t="n"/>
      <c r="I90" s="404">
        <f>SUM(E90:H90)</f>
        <v/>
      </c>
      <c r="J90" s="451" t="n"/>
      <c r="K90" s="404" t="n"/>
      <c r="L90" s="452" t="n"/>
      <c r="M90" s="453">
        <f>HYPERLINK("https://www.youtube.com/watch?v=cmMkGSMHTKE","Video Solution - Eng John Gamal")</f>
        <v/>
      </c>
      <c r="N90" s="407" t="n"/>
      <c r="O90" s="407" t="n"/>
      <c r="P90" s="407" t="n"/>
      <c r="Q90" s="407" t="n"/>
      <c r="R90" s="407" t="n"/>
      <c r="S90" s="407" t="n"/>
      <c r="T90" s="407" t="n"/>
    </row>
    <row r="91" ht="15.75" customHeight="1" s="279">
      <c r="A91" s="423" t="inlineStr">
        <is>
          <t>Chewbaсca and Number</t>
        </is>
      </c>
      <c r="B91" s="408">
        <f>HYPERLINK("http://codeforces.com/contest/514/problem/A","CF514-D2-A")</f>
        <v/>
      </c>
      <c r="C91" s="404" t="n"/>
      <c r="D91" s="404" t="n"/>
      <c r="E91" s="404" t="n"/>
      <c r="F91" s="404" t="n"/>
      <c r="G91" s="404" t="n"/>
      <c r="H91" s="404" t="n"/>
      <c r="I91" s="404">
        <f>SUM(E91:H91)</f>
        <v/>
      </c>
      <c r="J91" s="451" t="n"/>
      <c r="K91" s="404" t="n"/>
      <c r="L91" s="452" t="n"/>
      <c r="M91" s="453">
        <f>HYPERLINK("https://www.youtube.com/watch?v=wU51frCexTY&amp;feature=youtu.be","Video Solution - Eng Muntaser Abukadeja")</f>
        <v/>
      </c>
      <c r="N91" s="407" t="n"/>
      <c r="O91" s="407" t="n"/>
      <c r="P91" s="407" t="n"/>
      <c r="Q91" s="407" t="n"/>
      <c r="R91" s="407" t="n"/>
      <c r="S91" s="407" t="n"/>
      <c r="T91" s="407" t="n"/>
    </row>
    <row r="92" ht="15.75" customHeight="1" s="279">
      <c r="A92" s="423" t="inlineStr">
        <is>
          <t>Ksenia and Pan Scales</t>
        </is>
      </c>
      <c r="B92" s="408">
        <f>HYPERLINK("http://codeforces.com/contest/382/problem/A","CF382-D2-A")</f>
        <v/>
      </c>
      <c r="C92" s="404" t="n"/>
      <c r="D92" s="404" t="n"/>
      <c r="E92" s="404" t="n"/>
      <c r="F92" s="404" t="n"/>
      <c r="G92" s="404" t="n"/>
      <c r="H92" s="404" t="n"/>
      <c r="I92" s="404">
        <f>SUM(E92:H92)</f>
        <v/>
      </c>
      <c r="J92" s="451" t="n"/>
      <c r="K92" s="404" t="n"/>
      <c r="L92" s="452" t="n"/>
      <c r="M92" s="415">
        <f>HYPERLINK("https://www.youtube.com/watch?v=6xkV-GeRs2o&amp;feature=youtu.be","Video Solution - Eng Samed Hajajla")</f>
        <v/>
      </c>
      <c r="N92" s="416" t="n"/>
      <c r="O92" s="416" t="n"/>
      <c r="P92" s="416" t="n"/>
      <c r="Q92" s="416" t="n"/>
      <c r="R92" s="416" t="n"/>
      <c r="S92" s="416" t="n"/>
      <c r="T92" s="416" t="n"/>
    </row>
    <row r="93" ht="15.75" customHeight="1" s="279">
      <c r="A93" s="423" t="inlineStr">
        <is>
          <t>Launch of Collider</t>
        </is>
      </c>
      <c r="B93" s="408">
        <f>HYPERLINK("http://codeforces.com/contest/699/problem/A","CF699-D2-A")</f>
        <v/>
      </c>
      <c r="C93" s="404" t="n"/>
      <c r="D93" s="404" t="n"/>
      <c r="E93" s="404" t="n"/>
      <c r="F93" s="404" t="n"/>
      <c r="G93" s="404" t="n"/>
      <c r="H93" s="404" t="n"/>
      <c r="I93" s="404">
        <f>SUM(E93:H93)</f>
        <v/>
      </c>
      <c r="J93" s="451" t="n"/>
      <c r="K93" s="404" t="n"/>
      <c r="L93" s="452" t="n"/>
      <c r="M93" s="453">
        <f>HYPERLINK("https://www.youtube.com/watch?v=2xSkHmA5z8s","Video Solution - Eng Samed Hajajla")</f>
        <v/>
      </c>
      <c r="N93" s="407" t="n"/>
      <c r="O93" s="407" t="n"/>
      <c r="P93" s="407" t="n"/>
      <c r="Q93" s="407" t="n"/>
      <c r="R93" s="407" t="n"/>
      <c r="S93" s="407" t="n"/>
      <c r="T93" s="407" t="n"/>
    </row>
    <row r="94" ht="15.75" customHeight="1" s="279">
      <c r="A94" s="420" t="inlineStr">
        <is>
          <t>Polo the Penguin and Segments</t>
        </is>
      </c>
      <c r="B94" s="421">
        <f>HYPERLINK("http://codeforces.com/contest/289/problem/A","CF289-D2-A")</f>
        <v/>
      </c>
      <c r="C94" s="404" t="n"/>
      <c r="D94" s="404" t="n"/>
      <c r="E94" s="404" t="n"/>
      <c r="F94" s="404" t="n"/>
      <c r="G94" s="404" t="n"/>
      <c r="H94" s="404" t="n"/>
      <c r="I94" s="404">
        <f>SUM(E94:H94)</f>
        <v/>
      </c>
      <c r="J94" s="418" t="n"/>
      <c r="K94" s="404" t="n"/>
      <c r="L94" s="418" t="n"/>
      <c r="M94" s="417">
        <f>HYPERLINK("https://www.youtube.com/watch?v=EjH3kDiEpS0","Video Solution - Dr Mostafa Saad")</f>
        <v/>
      </c>
      <c r="N94" s="417" t="n"/>
      <c r="O94" s="417" t="n"/>
      <c r="P94" s="417" t="n"/>
      <c r="Q94" s="417" t="n"/>
      <c r="R94" s="417" t="n"/>
      <c r="S94" s="417" t="n"/>
      <c r="T94" s="417" t="n"/>
    </row>
    <row r="95" ht="15.75" customHeight="1" s="279">
      <c r="A95" s="420" t="inlineStr">
        <is>
          <t>IQ Test</t>
        </is>
      </c>
      <c r="B95" s="421">
        <f>HYPERLINK("http://codeforces.com/contest/287/problem/A","CF287-D2-A")</f>
        <v/>
      </c>
      <c r="C95" s="404" t="inlineStr">
        <is>
          <t>AC</t>
        </is>
      </c>
      <c r="D95" s="404" t="n">
        <v>3</v>
      </c>
      <c r="E95" s="404" t="n">
        <v>1</v>
      </c>
      <c r="F95" s="404" t="n">
        <v>3</v>
      </c>
      <c r="G95" s="404" t="n">
        <v>4</v>
      </c>
      <c r="H95" s="404" t="n">
        <v>5</v>
      </c>
      <c r="I95" s="404">
        <f>SUM(E95:H95)</f>
        <v/>
      </c>
      <c r="J95" s="418" t="n">
        <v>1</v>
      </c>
      <c r="K95" s="404" t="inlineStr">
        <is>
          <t>yes</t>
        </is>
      </c>
      <c r="L95" s="433" t="inlineStr">
        <is>
          <t>adhoc</t>
        </is>
      </c>
      <c r="M95" s="417" t="inlineStr">
        <is>
          <t xml:space="preserve">i am stupid moron dont get over confident </t>
        </is>
      </c>
      <c r="N95" s="417" t="n"/>
      <c r="O95" s="417" t="n"/>
      <c r="P95" s="417" t="n"/>
      <c r="Q95" s="417" t="n"/>
      <c r="R95" s="417" t="n"/>
      <c r="S95" s="417" t="n"/>
      <c r="T95" s="417" t="n"/>
    </row>
    <row r="96" ht="15.75" customHeight="1" s="279">
      <c r="A96" s="420" t="inlineStr">
        <is>
          <t>Yaroslav and Permutations</t>
        </is>
      </c>
      <c r="B96" s="421">
        <f>HYPERLINK("http://codeforces.com/contest/296/problem/A","CF296-D2-A")</f>
        <v/>
      </c>
      <c r="C96" s="404" t="n"/>
      <c r="D96" s="404" t="n"/>
      <c r="E96" s="404" t="n"/>
      <c r="F96" s="404" t="n"/>
      <c r="G96" s="404" t="n"/>
      <c r="H96" s="404" t="n"/>
      <c r="I96" s="404">
        <f>SUM(E96:H96)</f>
        <v/>
      </c>
      <c r="J96" s="418" t="n"/>
      <c r="K96" s="404" t="n"/>
      <c r="L96" s="418" t="n"/>
      <c r="M96" s="417">
        <f>HYPERLINK("https://www.youtube.com/watch?v=kdgWBRPqMfo","Video Solution - Dr Mostafa Saad")</f>
        <v/>
      </c>
      <c r="N96" s="417" t="n"/>
      <c r="O96" s="417" t="n"/>
      <c r="P96" s="417" t="n"/>
      <c r="Q96" s="417" t="n"/>
      <c r="R96" s="417" t="n"/>
      <c r="S96" s="417" t="n"/>
      <c r="T96" s="417" t="n"/>
    </row>
    <row r="97" ht="15.75" customHeight="1" s="279">
      <c r="A97" s="420" t="inlineStr">
        <is>
          <t>Snow Footprints</t>
        </is>
      </c>
      <c r="B97" s="421">
        <f>HYPERLINK("http://codeforces.com/contest/298/problem/A","CF298-D2-A")</f>
        <v/>
      </c>
      <c r="C97" s="404" t="n"/>
      <c r="D97" s="404" t="n"/>
      <c r="E97" s="404" t="n"/>
      <c r="F97" s="404" t="n"/>
      <c r="G97" s="404" t="n"/>
      <c r="H97" s="404" t="n"/>
      <c r="I97" s="404">
        <f>SUM(E97:H97)</f>
        <v/>
      </c>
      <c r="J97" s="418" t="n"/>
      <c r="K97" s="404" t="n"/>
      <c r="L97" s="418" t="n"/>
      <c r="M97" s="417">
        <f>HYPERLINK("https://www.youtube.com/watch?v=oX_hPHnYgMA","Video Solution - Dr Mostafa Saad")</f>
        <v/>
      </c>
      <c r="N97" s="417" t="n"/>
      <c r="O97" s="417" t="n"/>
      <c r="P97" s="417" t="n"/>
      <c r="Q97" s="417" t="n"/>
      <c r="R97" s="417" t="n"/>
      <c r="S97" s="417" t="n"/>
      <c r="T97" s="417" t="n"/>
    </row>
    <row r="98" ht="15.75" customHeight="1" s="279">
      <c r="A98" s="420" t="inlineStr">
        <is>
          <t>Raising Bacteria</t>
        </is>
      </c>
      <c r="B98" s="453">
        <f>HYPERLINK("http://codeforces.com/contest/579/problem/A","CF579-D2-A")</f>
        <v/>
      </c>
      <c r="C98" s="404" t="n"/>
      <c r="D98" s="404" t="n"/>
      <c r="E98" s="404" t="n"/>
      <c r="F98" s="404" t="n"/>
      <c r="G98" s="404" t="n"/>
      <c r="H98" s="404" t="n"/>
      <c r="I98" s="404">
        <f>SUM(E98:H98)</f>
        <v/>
      </c>
      <c r="J98" s="418" t="n"/>
      <c r="K98" s="404" t="n"/>
      <c r="L98" s="418" t="n"/>
      <c r="M98" s="417">
        <f>HYPERLINK("https://www.youtube.com/watch?v=UWMDrh1shXg","Video Solution - Eng Ahmed Rafaat (Python)")</f>
        <v/>
      </c>
      <c r="N98" s="417" t="n"/>
      <c r="O98" s="417" t="n"/>
      <c r="P98" s="417" t="n"/>
      <c r="Q98" s="417" t="n"/>
      <c r="R98" s="417" t="n"/>
      <c r="S98" s="417" t="n"/>
      <c r="T98" s="417" t="n"/>
    </row>
    <row r="99" ht="15.75" customHeight="1" s="279">
      <c r="A99" s="420" t="inlineStr">
        <is>
          <t>BowWow and the Timetable</t>
        </is>
      </c>
      <c r="B99" s="453">
        <f>HYPERLINK("https://codeforces.com/contest/1204/problem/A","CF1204-D2-A")</f>
        <v/>
      </c>
      <c r="C99" s="404" t="n"/>
      <c r="D99" s="404" t="n"/>
      <c r="E99" s="404" t="n"/>
      <c r="F99" s="404" t="n"/>
      <c r="G99" s="404" t="n"/>
      <c r="H99" s="404" t="n"/>
      <c r="I99" s="404">
        <f>SUM(E99:H99)</f>
        <v/>
      </c>
      <c r="J99" s="418" t="n"/>
      <c r="K99" s="404" t="n"/>
      <c r="L99" s="418" t="n"/>
      <c r="M99" s="453">
        <f>HYPERLINK("https://www.youtube.com/watch?v=4ITr6GaZP","Video Solution - Dr Mostafa Saad")</f>
        <v/>
      </c>
      <c r="N99" s="407" t="n"/>
      <c r="O99" s="407" t="n"/>
      <c r="P99" s="407" t="n"/>
      <c r="Q99" s="407" t="n"/>
      <c r="R99" s="407" t="n"/>
      <c r="S99" s="407" t="n"/>
      <c r="T99" s="407" t="n"/>
    </row>
    <row r="100" ht="30.75" customHeight="1" s="279">
      <c r="A100" s="420" t="inlineStr">
        <is>
          <t>Balanced Rating Changes</t>
        </is>
      </c>
      <c r="B100" s="453">
        <f>HYPERLINK("https://codeforces.com/contest/1237/problem/A","CF1237-D12-A")</f>
        <v/>
      </c>
      <c r="C100" s="404" t="inlineStr">
        <is>
          <t>AC</t>
        </is>
      </c>
      <c r="D100" s="404" t="n">
        <v>1</v>
      </c>
      <c r="E100" s="404" t="n">
        <v>1</v>
      </c>
      <c r="F100" s="404" t="n">
        <v>2</v>
      </c>
      <c r="G100" s="404" t="n">
        <v>21</v>
      </c>
      <c r="H100" s="404" t="n">
        <v>9</v>
      </c>
      <c r="I100" s="404">
        <f>SUM(E100:H100)</f>
        <v/>
      </c>
      <c r="J100" s="418" t="n"/>
      <c r="K100" s="404" t="n"/>
      <c r="L100" s="418" t="n"/>
      <c r="M100" s="407" t="inlineStr">
        <is>
          <t xml:space="preserve">i am stupid don't over complicated </t>
        </is>
      </c>
      <c r="N100" s="407" t="n"/>
      <c r="O100" s="407" t="n"/>
      <c r="P100" s="407" t="n"/>
      <c r="Q100" s="407" t="n"/>
      <c r="R100" s="407" t="n"/>
      <c r="S100" s="407" t="n"/>
      <c r="T100" s="407" t="n"/>
    </row>
    <row r="101" ht="15.75" customHeight="1" s="279">
      <c r="A101" s="407" t="n"/>
      <c r="B101" s="407" t="n"/>
      <c r="C101" s="404" t="n"/>
      <c r="D101" s="404" t="n"/>
      <c r="E101" s="404" t="n"/>
      <c r="F101" s="404" t="n"/>
      <c r="G101" s="404" t="n"/>
      <c r="H101" s="404" t="n"/>
      <c r="I101" s="404">
        <f>SUM(E101:H101)</f>
        <v/>
      </c>
      <c r="J101" s="451" t="n"/>
      <c r="K101" s="404" t="n"/>
      <c r="L101" s="452" t="n"/>
      <c r="M101" s="424" t="n"/>
      <c r="N101" s="424" t="n"/>
      <c r="O101" s="424" t="n"/>
      <c r="P101" s="424" t="n"/>
      <c r="Q101" s="424" t="n"/>
      <c r="R101" s="424" t="n"/>
      <c r="S101" s="424" t="n"/>
      <c r="T101" s="424" t="n"/>
    </row>
    <row r="102" ht="15.75" customHeight="1" s="279">
      <c r="A102" s="407" t="n"/>
      <c r="B102" s="407" t="n"/>
      <c r="C102" s="404" t="n"/>
      <c r="D102" s="404" t="n"/>
      <c r="E102" s="404" t="n"/>
      <c r="F102" s="404" t="n"/>
      <c r="G102" s="404" t="n"/>
      <c r="H102" s="404" t="n"/>
      <c r="I102" s="404">
        <f>SUM(E102:H102)</f>
        <v/>
      </c>
      <c r="J102" s="451" t="n"/>
      <c r="K102" s="404" t="n"/>
      <c r="L102" s="452" t="n"/>
      <c r="M102" s="424">
        <f>HYPERLINK("https://www.youtube.com/watch?v=2G7RzlxTNPo","Watch - Search Techniques - Binary Search")</f>
        <v/>
      </c>
      <c r="N102" s="424" t="n"/>
      <c r="O102" s="424" t="n"/>
      <c r="P102" s="424" t="n"/>
      <c r="Q102" s="424" t="n"/>
      <c r="R102" s="424" t="n"/>
      <c r="S102" s="424" t="n"/>
      <c r="T102" s="424" t="n"/>
    </row>
    <row r="103" ht="15.75" customHeight="1" s="279">
      <c r="A103" s="432" t="inlineStr">
        <is>
          <t>The Playboy Chimp</t>
        </is>
      </c>
      <c r="B103" s="316">
        <f>HYPERLINK("https://uva.onlinejudge.org/index.php?option=com_onlinejudge&amp;Itemid=8&amp;page=show_problem&amp;problem=1552","UVA 10611")</f>
        <v/>
      </c>
      <c r="C103" s="404" t="inlineStr">
        <is>
          <t>AC</t>
        </is>
      </c>
      <c r="D103" s="404" t="n">
        <v>1</v>
      </c>
      <c r="E103" s="404" t="n">
        <v>3</v>
      </c>
      <c r="F103" s="404" t="n">
        <v>4</v>
      </c>
      <c r="G103" s="404" t="n">
        <v>28</v>
      </c>
      <c r="H103" s="404" t="n">
        <v>0</v>
      </c>
      <c r="I103" s="404">
        <f>SUM(E103:H103)</f>
        <v/>
      </c>
      <c r="J103" s="418" t="n"/>
      <c r="K103" s="404" t="inlineStr">
        <is>
          <t>yes</t>
        </is>
      </c>
      <c r="L103" s="433" t="inlineStr">
        <is>
          <t>bs</t>
        </is>
      </c>
      <c r="M103" s="417">
        <f>HYPERLINK("https://www.youtube.com/watch?v=OsfeunBJFzw","Video Solution - Eng Ayman Salah")</f>
        <v/>
      </c>
      <c r="N103" s="417" t="n"/>
      <c r="O103" s="417" t="n"/>
      <c r="P103" s="417" t="n"/>
      <c r="Q103" s="417" t="n"/>
      <c r="R103" s="417" t="n"/>
      <c r="S103" s="417" t="n"/>
      <c r="T103" s="417" t="n"/>
    </row>
    <row r="104" ht="15.75" customHeight="1" s="279">
      <c r="A104" s="449" t="inlineStr">
        <is>
          <t>Pipeline</t>
        </is>
      </c>
      <c r="B104" s="450">
        <f>HYPERLINK("http://codeforces.com/contest/287/problem/B","CF287-D2-B")</f>
        <v/>
      </c>
      <c r="C104" s="404" t="inlineStr">
        <is>
          <t>AC</t>
        </is>
      </c>
      <c r="D104" s="404" t="n">
        <v>3</v>
      </c>
      <c r="E104" s="404" t="n">
        <v>3</v>
      </c>
      <c r="F104" s="404" t="n">
        <v>60</v>
      </c>
      <c r="G104" s="404" t="n">
        <v>48</v>
      </c>
      <c r="H104" s="404" t="n">
        <v>12</v>
      </c>
      <c r="I104" s="404">
        <f>SUM(E104:H104)</f>
        <v/>
      </c>
      <c r="J104" s="451" t="n"/>
      <c r="K104" s="404" t="inlineStr">
        <is>
          <t>NO</t>
        </is>
      </c>
      <c r="L104" s="452" t="inlineStr">
        <is>
          <t>BS</t>
        </is>
      </c>
      <c r="M104" s="453">
        <f>HYPERLINK("https://www.youtube.com/watch?v=mhrz7F01Vqs","Video Solution - Dr Mostafa Saad")</f>
        <v/>
      </c>
      <c r="N104" s="407" t="n"/>
      <c r="O104" s="407" t="n"/>
      <c r="P104" s="407" t="n"/>
      <c r="Q104" s="407" t="n"/>
      <c r="R104" s="407" t="n"/>
      <c r="S104" s="407" t="n"/>
      <c r="T104" s="407" t="n"/>
    </row>
    <row r="105" ht="15.75" customHeight="1" s="279">
      <c r="A105" s="449" t="inlineStr">
        <is>
          <t>Burning Midnight Oil</t>
        </is>
      </c>
      <c r="B105" s="450">
        <f>HYPERLINK("https://codeforces.com/contest/165/problem/B","CF165-D2-B")</f>
        <v/>
      </c>
      <c r="C105" s="404" t="inlineStr">
        <is>
          <t>AC</t>
        </is>
      </c>
      <c r="D105" s="404" t="n">
        <v>1</v>
      </c>
      <c r="E105" s="404" t="n">
        <v>2</v>
      </c>
      <c r="F105" s="404" t="n">
        <v>10</v>
      </c>
      <c r="G105" s="404" t="n">
        <v>26</v>
      </c>
      <c r="H105" s="404" t="n"/>
      <c r="I105" s="404">
        <f>SUM(E105:H105)</f>
        <v/>
      </c>
      <c r="J105" s="418" t="n"/>
      <c r="K105" s="404" t="inlineStr">
        <is>
          <t>hint</t>
        </is>
      </c>
      <c r="L105" s="418" t="n"/>
      <c r="M105" s="414" t="n"/>
      <c r="N105" s="414" t="n"/>
      <c r="O105" s="414" t="n"/>
      <c r="P105" s="414" t="n"/>
      <c r="Q105" s="414" t="n"/>
      <c r="R105" s="414" t="n"/>
      <c r="S105" s="414" t="n"/>
      <c r="T105" s="414" t="n"/>
    </row>
    <row r="106" ht="15.75" customHeight="1" s="279">
      <c r="A106" s="449" t="inlineStr">
        <is>
          <t>Aggressive cows</t>
        </is>
      </c>
      <c r="B106" s="450">
        <f>HYPERLINK("http://www.spoj.com/problems/AGGRCOW/","SPOJ AGGRCOW")</f>
        <v/>
      </c>
      <c r="C106" s="404" t="inlineStr">
        <is>
          <t>AC</t>
        </is>
      </c>
      <c r="D106" s="404" t="n">
        <v>1</v>
      </c>
      <c r="E106" s="404" t="n">
        <v>5</v>
      </c>
      <c r="F106" s="404" t="n">
        <v>25</v>
      </c>
      <c r="G106" s="404" t="n">
        <v>25</v>
      </c>
      <c r="H106" s="404" t="n"/>
      <c r="I106" s="404">
        <f>SUM(E106:H106)</f>
        <v/>
      </c>
      <c r="J106" s="418" t="n"/>
      <c r="K106" s="404" t="inlineStr">
        <is>
          <t>hint</t>
        </is>
      </c>
      <c r="L106" s="418" t="n"/>
      <c r="M106" s="422">
        <f>HYPERLINK("https://www.youtube.com/watch?v=2R9L6mVal9U","Video Solution - Eng Youssef El Ghareeb")</f>
        <v/>
      </c>
      <c r="N106" s="414" t="n"/>
      <c r="O106" s="414" t="n"/>
      <c r="P106" s="414" t="n"/>
      <c r="Q106" s="414" t="n"/>
      <c r="R106" s="414" t="n"/>
      <c r="S106" s="414" t="n"/>
      <c r="T106" s="414" t="n"/>
    </row>
    <row r="107" ht="15.75" customHeight="1" s="279">
      <c r="A107" s="454" t="n"/>
      <c r="B107" s="454" t="n"/>
      <c r="C107" s="455" t="n"/>
      <c r="D107" s="455" t="n"/>
      <c r="E107" s="455" t="n"/>
      <c r="F107" s="455" t="n"/>
      <c r="G107" s="455" t="n"/>
      <c r="H107" s="455" t="n"/>
      <c r="I107" s="455">
        <f>SUM(E107:G107)</f>
        <v/>
      </c>
      <c r="J107" s="455" t="n"/>
      <c r="K107" s="455" t="n"/>
      <c r="L107" s="455" t="n"/>
      <c r="M107" s="454" t="n"/>
      <c r="N107" s="454" t="n"/>
      <c r="O107" s="454" t="n"/>
      <c r="P107" s="454" t="n"/>
      <c r="Q107" s="454" t="n"/>
      <c r="R107" s="454" t="n"/>
      <c r="S107" s="454" t="n"/>
      <c r="T107" s="454" t="n"/>
    </row>
    <row r="108" ht="23.25" customHeight="1" s="279">
      <c r="A108" s="416" t="n"/>
      <c r="B108" s="416" t="n"/>
      <c r="C108" s="404" t="n"/>
      <c r="D108" s="401" t="inlineStr">
        <is>
          <t>Optional Problems</t>
        </is>
      </c>
      <c r="H108" s="404" t="n"/>
      <c r="I108" s="404">
        <f>SUM(E108:G108)</f>
        <v/>
      </c>
      <c r="J108" s="401" t="inlineStr">
        <is>
          <t>You don't have to or encouraged to solve the next problem. If you felt you need so, try some of them. Or Proceed to next and solve in parallel, up to you.</t>
        </is>
      </c>
      <c r="N108" s="402" t="n"/>
      <c r="O108" s="402" t="n"/>
      <c r="P108" s="402" t="n"/>
      <c r="Q108" s="402" t="n"/>
      <c r="R108" s="402" t="n"/>
      <c r="S108" s="402" t="n"/>
      <c r="T108" s="402" t="n"/>
    </row>
    <row r="109" ht="15.75" customHeight="1" s="279">
      <c r="A109" s="454" t="n"/>
      <c r="B109" s="454" t="n"/>
      <c r="C109" s="455" t="n"/>
      <c r="D109" s="455" t="n"/>
      <c r="E109" s="455" t="n"/>
      <c r="F109" s="455" t="n"/>
      <c r="G109" s="455" t="n"/>
      <c r="H109" s="455" t="n"/>
      <c r="I109" s="455">
        <f>SUM(E109:G109)</f>
        <v/>
      </c>
      <c r="J109" s="455" t="n"/>
      <c r="K109" s="455" t="n"/>
      <c r="L109" s="455" t="n"/>
      <c r="M109" s="454" t="n"/>
      <c r="N109" s="454" t="n"/>
      <c r="O109" s="454" t="n"/>
      <c r="P109" s="454" t="n"/>
      <c r="Q109" s="454" t="n"/>
      <c r="R109" s="454" t="n"/>
      <c r="S109" s="454" t="n"/>
      <c r="T109" s="454" t="n"/>
    </row>
    <row r="110" ht="15.75" customHeight="1" s="279">
      <c r="A110" s="295" t="inlineStr">
        <is>
          <t>Word Capitalization</t>
        </is>
      </c>
      <c r="B110" s="417">
        <f>HYPERLINK("http://codeforces.com/contest/281/problem/A","CF281-D2-A")</f>
        <v/>
      </c>
      <c r="C110" s="418" t="n"/>
      <c r="D110" s="418" t="n"/>
      <c r="E110" s="418" t="n"/>
      <c r="F110" s="418" t="n"/>
      <c r="G110" s="418" t="n"/>
      <c r="H110" s="418" t="n"/>
      <c r="I110" s="404">
        <f>SUM(E110:H110)</f>
        <v/>
      </c>
      <c r="J110" s="418" t="n"/>
      <c r="K110" s="418" t="n"/>
      <c r="L110" s="418" t="n"/>
      <c r="M110" s="417">
        <f>HYPERLINK("https://www.youtube.com/watch?v=GctpZIJ8xBA","Video Solution - Solver to be (Java)")</f>
        <v/>
      </c>
      <c r="N110" s="417" t="n"/>
      <c r="O110" s="417" t="n"/>
      <c r="P110" s="417" t="n"/>
      <c r="Q110" s="417" t="n"/>
      <c r="R110" s="417" t="n"/>
      <c r="S110" s="417" t="n"/>
      <c r="T110" s="417" t="n"/>
    </row>
    <row r="111" ht="23.25" customHeight="1" s="279">
      <c r="A111" s="295" t="inlineStr">
        <is>
          <t>Next Round</t>
        </is>
      </c>
      <c r="B111" s="417">
        <f>HYPERLINK("http://codeforces.com/contest/158/problem/A","CF158-D12-A")</f>
        <v/>
      </c>
      <c r="C111" s="418" t="n"/>
      <c r="D111" s="418" t="n"/>
      <c r="E111" s="418" t="n"/>
      <c r="F111" s="418" t="n"/>
      <c r="G111" s="418" t="n"/>
      <c r="H111" s="418" t="n"/>
      <c r="I111" s="404">
        <f>SUM(E111:H111)</f>
        <v/>
      </c>
      <c r="J111" s="418" t="n"/>
      <c r="K111" s="418" t="n"/>
      <c r="L111" s="418" t="n"/>
      <c r="M111" s="417">
        <f>HYPERLINK("https://www.youtube.com/watch?v=jwF2F5D8j9o","Video Solution - Solver to be (Java)")</f>
        <v/>
      </c>
      <c r="N111" s="417" t="n"/>
      <c r="O111" s="417" t="n"/>
      <c r="P111" s="417" t="n"/>
      <c r="Q111" s="417" t="n"/>
      <c r="R111" s="417" t="n"/>
      <c r="S111" s="417" t="n"/>
      <c r="T111" s="417" t="n"/>
    </row>
    <row r="112" ht="15.75" customHeight="1" s="279">
      <c r="A112" s="295" t="inlineStr">
        <is>
          <t>Young Physicist</t>
        </is>
      </c>
      <c r="B112" s="417">
        <f>HYPERLINK("http://codeforces.com/contest/69/problem/A","CF69-D2-A")</f>
        <v/>
      </c>
      <c r="C112" s="418" t="n"/>
      <c r="D112" s="418" t="n"/>
      <c r="E112" s="418" t="n"/>
      <c r="F112" s="418" t="n"/>
      <c r="G112" s="418" t="n"/>
      <c r="H112" s="418" t="n"/>
      <c r="I112" s="404">
        <f>SUM(E112:H112)</f>
        <v/>
      </c>
      <c r="J112" s="418" t="n"/>
      <c r="K112" s="418" t="n"/>
      <c r="L112" s="418" t="n"/>
      <c r="M112" s="417">
        <f>HYPERLINK("https://www.youtube.com/watch?v=L8pMTIq7DFM","Video Solution - Solver to be (Java)")</f>
        <v/>
      </c>
      <c r="N112" s="417" t="n"/>
      <c r="O112" s="417" t="n"/>
      <c r="P112" s="417" t="n"/>
      <c r="Q112" s="417" t="n"/>
      <c r="R112" s="417" t="n"/>
      <c r="S112" s="417" t="n"/>
      <c r="T112" s="417" t="n"/>
    </row>
    <row r="113" ht="15.75" customHeight="1" s="279">
      <c r="A113" s="295" t="inlineStr">
        <is>
          <t>Bit++</t>
        </is>
      </c>
      <c r="B113" s="417">
        <f>HYPERLINK("http://codeforces.com/contest/282/problem/A","CF282-D2-A")</f>
        <v/>
      </c>
      <c r="C113" s="418" t="n"/>
      <c r="D113" s="418" t="n"/>
      <c r="E113" s="418" t="n"/>
      <c r="F113" s="418" t="n"/>
      <c r="G113" s="418" t="n"/>
      <c r="H113" s="418" t="n"/>
      <c r="I113" s="404">
        <f>SUM(E113:H113)</f>
        <v/>
      </c>
      <c r="J113" s="418" t="n"/>
      <c r="K113" s="418" t="n"/>
      <c r="L113" s="418" t="n"/>
      <c r="M113" s="417">
        <f>HYPERLINK("https://www.youtube.com/watch?v=5TyT1RIv3wM","Video Solution - Solver to be (Java)")</f>
        <v/>
      </c>
      <c r="N113" s="417" t="n"/>
      <c r="O113" s="417" t="n"/>
      <c r="P113" s="417" t="n"/>
      <c r="Q113" s="417" t="n"/>
      <c r="R113" s="417" t="n"/>
      <c r="S113" s="417" t="n"/>
      <c r="T113" s="417" t="n"/>
    </row>
    <row r="114" ht="15.75" customHeight="1" s="279">
      <c r="A114" s="295" t="inlineStr">
        <is>
          <t>Case of the Zeros and Ones</t>
        </is>
      </c>
      <c r="B114" s="417">
        <f>HYPERLINK("http://codeforces.com/contest/556/problem/A","CF556-D2-A")</f>
        <v/>
      </c>
      <c r="C114" s="418" t="n"/>
      <c r="D114" s="418" t="n"/>
      <c r="E114" s="418" t="n"/>
      <c r="F114" s="418" t="n"/>
      <c r="G114" s="418" t="n"/>
      <c r="H114" s="418" t="n"/>
      <c r="I114" s="404">
        <f>SUM(E114:H114)</f>
        <v/>
      </c>
      <c r="J114" s="418" t="n"/>
      <c r="K114" s="418" t="n"/>
      <c r="L114" s="418" t="n"/>
      <c r="M114" s="417">
        <f>HYPERLINK("https://www.youtube.com/watch?v=rud5ZbfjBxg","Video Solution - Solver to be (Java)")</f>
        <v/>
      </c>
      <c r="N114" s="417" t="n"/>
      <c r="O114" s="417" t="n"/>
      <c r="P114" s="417" t="n"/>
      <c r="Q114" s="417" t="n"/>
      <c r="R114" s="417" t="n"/>
      <c r="S114" s="417" t="n"/>
      <c r="T114" s="417" t="n"/>
    </row>
    <row r="115" ht="15.75" customHeight="1" s="279">
      <c r="A115" s="295" t="inlineStr">
        <is>
          <t>Translation</t>
        </is>
      </c>
      <c r="B115" s="417">
        <f>HYPERLINK("http://codeforces.com/contest/41/problem/A","CF41-D2-A")</f>
        <v/>
      </c>
      <c r="C115" s="418" t="n"/>
      <c r="D115" s="418" t="n"/>
      <c r="E115" s="418" t="n"/>
      <c r="F115" s="418" t="n"/>
      <c r="G115" s="418" t="n"/>
      <c r="H115" s="418" t="n"/>
      <c r="I115" s="404">
        <f>SUM(E115:H115)</f>
        <v/>
      </c>
      <c r="J115" s="418" t="n"/>
      <c r="K115" s="418" t="n"/>
      <c r="L115" s="418" t="n"/>
      <c r="M115" s="417">
        <f>HYPERLINK("https://www.youtube.com/watch?v=2rXyyB_2zX8","Video Solution - Solver to be (Java)")</f>
        <v/>
      </c>
      <c r="N115" s="417" t="n"/>
      <c r="O115" s="417" t="n"/>
      <c r="P115" s="417" t="n"/>
      <c r="Q115" s="417" t="n"/>
      <c r="R115" s="417" t="n"/>
      <c r="S115" s="417" t="n"/>
      <c r="T115" s="417" t="n"/>
    </row>
    <row r="116" ht="15.75" customHeight="1" s="279">
      <c r="A116" s="295" t="inlineStr">
        <is>
          <t>String Task</t>
        </is>
      </c>
      <c r="B116" s="417">
        <f>HYPERLINK("http://codeforces.com/contest/118/problem/A","CF118-D2-A")</f>
        <v/>
      </c>
      <c r="C116" s="418" t="n"/>
      <c r="D116" s="418" t="n"/>
      <c r="E116" s="418" t="n"/>
      <c r="F116" s="418" t="n"/>
      <c r="G116" s="418" t="n"/>
      <c r="H116" s="418" t="n"/>
      <c r="I116" s="404">
        <f>SUM(E116:H116)</f>
        <v/>
      </c>
      <c r="J116" s="418" t="n"/>
      <c r="K116" s="418" t="n"/>
      <c r="L116" s="418" t="n"/>
      <c r="M116" s="417">
        <f>HYPERLINK("https://www.youtube.com/watch?v=fiYo2lKksN0","Video Solution - Solver to be (Java)")</f>
        <v/>
      </c>
      <c r="N116" s="417" t="n"/>
      <c r="O116" s="417" t="n"/>
      <c r="P116" s="417" t="n"/>
      <c r="Q116" s="417" t="n"/>
      <c r="R116" s="417" t="n"/>
      <c r="S116" s="417" t="n"/>
      <c r="T116" s="417" t="n"/>
    </row>
    <row r="117" ht="15.75" customHeight="1" s="279">
      <c r="A117" s="295" t="inlineStr">
        <is>
          <t>Laptops</t>
        </is>
      </c>
      <c r="B117" s="417">
        <f>HYPERLINK("http://codeforces.com/contest/456/problem/A","CF456-D2-A")</f>
        <v/>
      </c>
      <c r="C117" s="418" t="n"/>
      <c r="D117" s="418" t="n"/>
      <c r="E117" s="418" t="n"/>
      <c r="F117" s="418" t="n"/>
      <c r="G117" s="418" t="n"/>
      <c r="H117" s="418" t="n"/>
      <c r="I117" s="404">
        <f>SUM(E117:H117)</f>
        <v/>
      </c>
      <c r="J117" s="418" t="n"/>
      <c r="K117" s="418" t="n"/>
      <c r="L117" s="418" t="n"/>
      <c r="M117" s="417">
        <f>HYPERLINK("https://www.youtube.com/watch?v=_Ab4PUC2vMk","Video Solution - Solver to be (Java)")</f>
        <v/>
      </c>
      <c r="N117" s="417" t="n"/>
      <c r="O117" s="417" t="n"/>
      <c r="P117" s="417" t="n"/>
      <c r="Q117" s="417" t="n"/>
      <c r="R117" s="417" t="n"/>
      <c r="S117" s="417" t="n"/>
      <c r="T117" s="417" t="n"/>
    </row>
    <row r="118" ht="15.75" customHeight="1" s="279">
      <c r="A118" s="407" t="inlineStr">
        <is>
          <t>Left-handers, Right-handers and Ambidexters</t>
        </is>
      </c>
      <c r="B118" s="453">
        <f>HYPERLINK("http://codeforces.com/contest/950/problem/A","CF950-D2-A")</f>
        <v/>
      </c>
      <c r="C118" s="404" t="n"/>
      <c r="D118" s="404" t="n"/>
      <c r="E118" s="404" t="n"/>
      <c r="F118" s="404" t="n"/>
      <c r="G118" s="404" t="n"/>
      <c r="H118" s="404" t="n"/>
      <c r="I118" s="404">
        <f>SUM(E118:H118)</f>
        <v/>
      </c>
      <c r="J118" s="418" t="n"/>
      <c r="K118" s="404" t="n"/>
      <c r="L118" s="418" t="n"/>
      <c r="M118" s="453">
        <f>HYPERLINK("https://www.youtube.com/watch?v=YQ48TRf4-T8&amp;feature=youtu.be","Video Solution - Eng Hossam Yehia")</f>
        <v/>
      </c>
      <c r="N118" s="407" t="n"/>
      <c r="O118" s="407" t="n"/>
      <c r="P118" s="407" t="n"/>
      <c r="Q118" s="407" t="n"/>
      <c r="R118" s="407" t="n"/>
      <c r="S118" s="407" t="n"/>
      <c r="T118" s="407" t="n"/>
    </row>
    <row r="119" ht="15.75" customHeight="1" s="279">
      <c r="A119" s="407" t="inlineStr">
        <is>
          <t>George and Accommodation</t>
        </is>
      </c>
      <c r="B119" s="453">
        <f>HYPERLINK("http://codeforces.com/contest/467/problem/A","CF467-D2-A")</f>
        <v/>
      </c>
      <c r="C119" s="404" t="n"/>
      <c r="D119" s="404" t="n"/>
      <c r="E119" s="404" t="n"/>
      <c r="F119" s="404" t="n"/>
      <c r="G119" s="404" t="n"/>
      <c r="H119" s="404" t="n"/>
      <c r="I119" s="404">
        <f>SUM(E119:H119)</f>
        <v/>
      </c>
      <c r="J119" s="418" t="n"/>
      <c r="K119" s="404" t="n"/>
      <c r="L119" s="418" t="n"/>
      <c r="M119" s="417">
        <f>HYPERLINK("https://www.youtube.com/watch?v=ueGooXZFeTE","Video Solution - Eng Ahmed Rafaat (Python)")</f>
        <v/>
      </c>
      <c r="N119" s="417" t="n"/>
      <c r="O119" s="417" t="n"/>
      <c r="P119" s="417" t="n"/>
      <c r="Q119" s="417" t="n"/>
      <c r="R119" s="417" t="n"/>
      <c r="S119" s="417" t="n"/>
      <c r="T119" s="417" t="n"/>
    </row>
    <row r="120" ht="15.75" customHeight="1" s="279">
      <c r="A120" s="295" t="inlineStr">
        <is>
          <t>Vitaliy and Pie</t>
        </is>
      </c>
      <c r="B120" s="417">
        <f>HYPERLINK("http://codeforces.com/contest/525/problem/A","CF525-D2-A")</f>
        <v/>
      </c>
      <c r="C120" s="418" t="n"/>
      <c r="D120" s="418" t="n"/>
      <c r="E120" s="418" t="n"/>
      <c r="F120" s="418" t="n"/>
      <c r="G120" s="418" t="n"/>
      <c r="H120" s="418" t="n"/>
      <c r="I120" s="418">
        <f>SUM(E120:H120)</f>
        <v/>
      </c>
      <c r="J120" s="418" t="n"/>
      <c r="K120" s="418" t="n"/>
      <c r="L120" s="418" t="n"/>
      <c r="M120" s="417" t="inlineStr">
        <is>
          <t>Eng Mohamed Ayman</t>
        </is>
      </c>
      <c r="N120" s="417" t="n"/>
      <c r="O120" s="417" t="n"/>
      <c r="P120" s="417" t="n"/>
      <c r="Q120" s="417" t="n"/>
      <c r="R120" s="417" t="n"/>
      <c r="S120" s="417" t="n"/>
      <c r="T120" s="417" t="n"/>
    </row>
    <row r="121" ht="15.75" customHeight="1" s="279">
      <c r="A121" s="407" t="inlineStr">
        <is>
          <t>Vasya the Hipster</t>
        </is>
      </c>
      <c r="B121" s="453">
        <f>HYPERLINK("http://codeforces.com/contest/581/problem/A","CF581-D2-A")</f>
        <v/>
      </c>
      <c r="C121" s="404" t="n"/>
      <c r="D121" s="404" t="n"/>
      <c r="E121" s="404" t="n"/>
      <c r="F121" s="404" t="n"/>
      <c r="G121" s="404" t="n"/>
      <c r="H121" s="404" t="n"/>
      <c r="I121" s="404">
        <f>SUM(E121:H121)</f>
        <v/>
      </c>
      <c r="J121" s="418" t="n"/>
      <c r="K121" s="404" t="n"/>
      <c r="L121" s="418" t="n"/>
      <c r="M121" s="416" t="n"/>
      <c r="N121" s="416" t="n"/>
      <c r="O121" s="416" t="n"/>
      <c r="P121" s="416" t="n"/>
      <c r="Q121" s="416" t="n"/>
      <c r="R121" s="416" t="n"/>
      <c r="S121" s="416" t="n"/>
      <c r="T121" s="416" t="n"/>
    </row>
    <row r="122" ht="15.75" customHeight="1" s="279">
      <c r="A122" s="407" t="inlineStr">
        <is>
          <t>Fox And Snake</t>
        </is>
      </c>
      <c r="B122" s="453">
        <f>HYPERLINK("http://codeforces.com/contest/510/problem/A","CF510-D2-A")</f>
        <v/>
      </c>
      <c r="C122" s="404" t="n"/>
      <c r="D122" s="404" t="n"/>
      <c r="E122" s="404" t="n"/>
      <c r="F122" s="404" t="n"/>
      <c r="G122" s="404" t="n"/>
      <c r="H122" s="404" t="n"/>
      <c r="I122" s="404">
        <f>SUM(E122:H122)</f>
        <v/>
      </c>
      <c r="J122" s="418" t="n"/>
      <c r="K122" s="404" t="n"/>
      <c r="L122" s="418" t="n"/>
      <c r="M122" s="416" t="n"/>
      <c r="N122" s="416" t="n"/>
      <c r="O122" s="416" t="n"/>
      <c r="P122" s="416" t="n"/>
      <c r="Q122" s="416" t="n"/>
      <c r="R122" s="416" t="n"/>
      <c r="S122" s="416" t="n"/>
      <c r="T122" s="416" t="n"/>
    </row>
    <row r="123" ht="15.75" customHeight="1" s="279">
      <c r="A123" s="407" t="inlineStr">
        <is>
          <t>The New Year: Meeting Friends</t>
        </is>
      </c>
      <c r="B123" s="453">
        <f>HYPERLINK("http://codeforces.com/contest/723/problem/A","CF723-D2-A")</f>
        <v/>
      </c>
      <c r="C123" s="404" t="n"/>
      <c r="D123" s="404" t="n"/>
      <c r="E123" s="404" t="n"/>
      <c r="F123" s="404" t="n"/>
      <c r="G123" s="404" t="n"/>
      <c r="H123" s="404" t="n"/>
      <c r="I123" s="404">
        <f>SUM(E123:H123)</f>
        <v/>
      </c>
      <c r="J123" s="418" t="n"/>
      <c r="K123" s="404" t="n"/>
      <c r="L123" s="418" t="n"/>
      <c r="M123" s="416" t="n"/>
      <c r="N123" s="416" t="n"/>
      <c r="O123" s="416" t="n"/>
      <c r="P123" s="416" t="n"/>
      <c r="Q123" s="416" t="n"/>
      <c r="R123" s="416" t="n"/>
      <c r="S123" s="416" t="n"/>
      <c r="T123" s="416" t="n"/>
    </row>
    <row r="124" ht="15.75" customHeight="1" s="279">
      <c r="A124" s="407" t="inlineStr">
        <is>
          <t>Elephant</t>
        </is>
      </c>
      <c r="B124" s="453">
        <f>HYPERLINK("http://codeforces.com/contest/617/problem/A","CF617-D2-A")</f>
        <v/>
      </c>
      <c r="C124" s="404" t="n"/>
      <c r="D124" s="404" t="n"/>
      <c r="E124" s="404" t="n"/>
      <c r="F124" s="404" t="n"/>
      <c r="G124" s="404" t="n"/>
      <c r="H124" s="404" t="n"/>
      <c r="I124" s="404">
        <f>SUM(E124:H124)</f>
        <v/>
      </c>
      <c r="J124" s="418" t="n"/>
      <c r="K124" s="404" t="n"/>
      <c r="L124" s="418" t="n"/>
      <c r="M124" s="416" t="n"/>
      <c r="N124" s="416" t="n"/>
      <c r="O124" s="416" t="n"/>
      <c r="P124" s="416" t="n"/>
      <c r="Q124" s="416" t="n"/>
      <c r="R124" s="416" t="n"/>
      <c r="S124" s="416" t="n"/>
      <c r="T124" s="416" t="n"/>
    </row>
    <row r="125" ht="15.75" customHeight="1" s="279">
      <c r="A125" s="407" t="inlineStr">
        <is>
          <t>Greg's Workout</t>
        </is>
      </c>
      <c r="B125" s="453">
        <f>HYPERLINK("http://codeforces.com/contest/255/problem/A","CF255-D2-A")</f>
        <v/>
      </c>
      <c r="C125" s="404" t="n"/>
      <c r="D125" s="404" t="n"/>
      <c r="E125" s="404" t="n"/>
      <c r="F125" s="404" t="n"/>
      <c r="G125" s="404" t="n"/>
      <c r="H125" s="404" t="n"/>
      <c r="I125" s="404">
        <f>SUM(E125:H125)</f>
        <v/>
      </c>
      <c r="J125" s="418" t="n"/>
      <c r="K125" s="404" t="n"/>
      <c r="L125" s="418" t="n"/>
      <c r="M125" s="416" t="n"/>
      <c r="N125" s="416" t="n"/>
      <c r="O125" s="416" t="n"/>
      <c r="P125" s="416" t="n"/>
      <c r="Q125" s="416" t="n"/>
      <c r="R125" s="416" t="n"/>
      <c r="S125" s="416" t="n"/>
      <c r="T125" s="416" t="n"/>
    </row>
    <row r="126" ht="15.75" customHeight="1" s="279">
      <c r="A126" s="407" t="inlineStr">
        <is>
          <t>Ultra-Fast Mathematician</t>
        </is>
      </c>
      <c r="B126" s="453">
        <f>HYPERLINK("http://codeforces.com/contest/61/problem/A","CF61-D2-A")</f>
        <v/>
      </c>
      <c r="C126" s="404" t="n"/>
      <c r="D126" s="404" t="n"/>
      <c r="E126" s="404" t="n"/>
      <c r="F126" s="404" t="n"/>
      <c r="G126" s="404" t="n"/>
      <c r="H126" s="404" t="n"/>
      <c r="I126" s="404">
        <f>SUM(E126:H126)</f>
        <v/>
      </c>
      <c r="J126" s="418" t="n"/>
      <c r="K126" s="404" t="n"/>
      <c r="L126" s="418" t="n"/>
      <c r="M126" s="416" t="n"/>
      <c r="N126" s="416" t="n"/>
      <c r="O126" s="416" t="n"/>
      <c r="P126" s="416" t="n"/>
      <c r="Q126" s="416" t="n"/>
      <c r="R126" s="416" t="n"/>
      <c r="S126" s="416" t="n"/>
      <c r="T126" s="416" t="n"/>
    </row>
    <row r="127" ht="15.75" customHeight="1" s="279">
      <c r="A127" s="407" t="inlineStr">
        <is>
          <t>Little Pony and Crystal Mine</t>
        </is>
      </c>
      <c r="B127" s="453">
        <f>HYPERLINK("http://codeforces.com/contest/454/problem/A","CF454-D2-A")</f>
        <v/>
      </c>
      <c r="C127" s="404" t="n"/>
      <c r="D127" s="404" t="n"/>
      <c r="E127" s="404" t="n"/>
      <c r="F127" s="404" t="n"/>
      <c r="G127" s="404" t="n"/>
      <c r="H127" s="404" t="n"/>
      <c r="I127" s="404">
        <f>SUM(E127:H127)</f>
        <v/>
      </c>
      <c r="J127" s="418" t="n"/>
      <c r="K127" s="404" t="n"/>
      <c r="L127" s="418" t="n"/>
      <c r="M127" s="416" t="n"/>
      <c r="N127" s="416" t="n"/>
      <c r="O127" s="416" t="n"/>
      <c r="P127" s="416" t="n"/>
      <c r="Q127" s="416" t="n"/>
      <c r="R127" s="416" t="n"/>
      <c r="S127" s="416" t="n"/>
      <c r="T127" s="416" t="n"/>
    </row>
    <row r="128" ht="15.75" customHeight="1" s="279">
      <c r="A128" s="407" t="inlineStr">
        <is>
          <t>One-dimensional Japanese Crossword</t>
        </is>
      </c>
      <c r="B128" s="453">
        <f>HYPERLINK("http://codeforces.com/contest/721/problem/A","CF721-D2-A")</f>
        <v/>
      </c>
      <c r="C128" s="404" t="n"/>
      <c r="D128" s="404" t="n"/>
      <c r="E128" s="404" t="n"/>
      <c r="F128" s="404" t="n"/>
      <c r="G128" s="404" t="n"/>
      <c r="H128" s="404" t="n"/>
      <c r="I128" s="404">
        <f>SUM(E128:H128)</f>
        <v/>
      </c>
      <c r="J128" s="418" t="n"/>
      <c r="K128" s="404" t="n"/>
      <c r="L128" s="418" t="n"/>
      <c r="M128" s="416" t="n"/>
      <c r="N128" s="416" t="n"/>
      <c r="O128" s="416" t="n"/>
      <c r="P128" s="416" t="n"/>
      <c r="Q128" s="416" t="n"/>
      <c r="R128" s="416" t="n"/>
      <c r="S128" s="416" t="n"/>
      <c r="T128" s="416" t="n"/>
    </row>
    <row r="129" ht="15.75" customHeight="1" s="279">
      <c r="A129" s="407" t="inlineStr">
        <is>
          <t>Soldier and Bananas</t>
        </is>
      </c>
      <c r="B129" s="453">
        <f>HYPERLINK("http://codeforces.com/contest/546/problem/A","CF546-D2-A")</f>
        <v/>
      </c>
      <c r="C129" s="404" t="n"/>
      <c r="D129" s="404" t="n"/>
      <c r="E129" s="404" t="n"/>
      <c r="F129" s="404" t="n"/>
      <c r="G129" s="404" t="n"/>
      <c r="H129" s="404" t="n"/>
      <c r="I129" s="404">
        <f>SUM(E129:H129)</f>
        <v/>
      </c>
      <c r="J129" s="418" t="n"/>
      <c r="K129" s="404" t="n"/>
      <c r="L129" s="418" t="n"/>
      <c r="M129" s="416" t="n"/>
      <c r="N129" s="416" t="n"/>
      <c r="O129" s="416" t="n"/>
      <c r="P129" s="416" t="n"/>
      <c r="Q129" s="416" t="n"/>
      <c r="R129" s="416" t="n"/>
      <c r="S129" s="416" t="n"/>
      <c r="T129" s="416" t="n"/>
    </row>
    <row r="130" ht="15.75" customHeight="1" s="279">
      <c r="A130" s="407" t="n"/>
      <c r="B130" s="407" t="n"/>
      <c r="C130" s="404" t="n"/>
      <c r="D130" s="404" t="n"/>
      <c r="E130" s="404" t="n"/>
      <c r="F130" s="404" t="n"/>
      <c r="G130" s="404" t="n"/>
      <c r="H130" s="404" t="n"/>
      <c r="I130" s="404">
        <f>SUM(E130:H130)</f>
        <v/>
      </c>
      <c r="J130" s="418" t="n"/>
      <c r="K130" s="404" t="n"/>
      <c r="L130" s="418" t="n"/>
      <c r="M130" s="416" t="n"/>
      <c r="N130" s="416" t="n"/>
      <c r="O130" s="416" t="n"/>
      <c r="P130" s="416" t="n"/>
      <c r="Q130" s="416" t="n"/>
      <c r="R130" s="416" t="n"/>
      <c r="S130" s="416" t="n"/>
      <c r="T130" s="416" t="n"/>
    </row>
    <row r="131" ht="15.75" customHeight="1" s="279">
      <c r="A131" s="407" t="inlineStr">
        <is>
          <t>Bus to Udayland</t>
        </is>
      </c>
      <c r="B131" s="453">
        <f>HYPERLINK("http://codeforces.com/contest/711/problem/A","CF711-D2-A")</f>
        <v/>
      </c>
      <c r="C131" s="404" t="n"/>
      <c r="D131" s="404" t="n"/>
      <c r="E131" s="404" t="n"/>
      <c r="F131" s="404" t="n"/>
      <c r="G131" s="404" t="n"/>
      <c r="H131" s="404" t="n"/>
      <c r="I131" s="404">
        <f>SUM(E131:H131)</f>
        <v/>
      </c>
      <c r="J131" s="418" t="n"/>
      <c r="K131" s="404" t="n"/>
      <c r="L131" s="418" t="n"/>
      <c r="M131" s="416" t="n"/>
      <c r="N131" s="416" t="n"/>
      <c r="O131" s="416" t="n"/>
      <c r="P131" s="416" t="n"/>
      <c r="Q131" s="416" t="n"/>
      <c r="R131" s="416" t="n"/>
      <c r="S131" s="416" t="n"/>
      <c r="T131" s="416" t="n"/>
    </row>
    <row r="132" ht="15.75" customHeight="1" s="279">
      <c r="A132" s="295" t="inlineStr">
        <is>
          <t>Cookies</t>
        </is>
      </c>
      <c r="B132" s="417">
        <f>HYPERLINK("http://codeforces.com/contest/129/problem/A","CF129-D2-A")</f>
        <v/>
      </c>
      <c r="C132" s="404" t="n"/>
      <c r="D132" s="404" t="n"/>
      <c r="E132" s="404" t="n"/>
      <c r="F132" s="404" t="n"/>
      <c r="G132" s="404" t="n"/>
      <c r="H132" s="404" t="n"/>
      <c r="I132" s="404">
        <f>SUM(E132:H132)</f>
        <v/>
      </c>
      <c r="J132" s="418" t="n"/>
      <c r="K132" s="404" t="n"/>
      <c r="L132" s="418" t="n"/>
      <c r="M132" s="416" t="n"/>
      <c r="N132" s="416" t="n"/>
      <c r="O132" s="416" t="n"/>
      <c r="P132" s="416" t="n"/>
      <c r="Q132" s="416" t="n"/>
      <c r="R132" s="416" t="n"/>
      <c r="S132" s="416" t="n"/>
      <c r="T132" s="416" t="n"/>
    </row>
    <row r="133" ht="15.75" customHeight="1" s="279">
      <c r="A133" s="423" t="inlineStr">
        <is>
          <t>Second Order Statistics</t>
        </is>
      </c>
      <c r="B133" s="408">
        <f>HYPERLINK("http://codeforces.com/contest/22/problem/A","CF22-D2-A")</f>
        <v/>
      </c>
      <c r="C133" s="404" t="n"/>
      <c r="D133" s="404" t="n"/>
      <c r="E133" s="404" t="n"/>
      <c r="F133" s="404" t="n"/>
      <c r="G133" s="404" t="n"/>
      <c r="H133" s="404" t="n"/>
      <c r="I133" s="404">
        <f>SUM(E133:H133)</f>
        <v/>
      </c>
      <c r="J133" s="418" t="n"/>
      <c r="K133" s="404" t="n"/>
      <c r="L133" s="418" t="n"/>
      <c r="M133" s="416" t="n"/>
      <c r="N133" s="416" t="n"/>
      <c r="O133" s="416" t="n"/>
      <c r="P133" s="416" t="n"/>
      <c r="Q133" s="416" t="n"/>
      <c r="R133" s="416" t="n"/>
      <c r="S133" s="416" t="n"/>
      <c r="T133" s="416" t="n"/>
    </row>
    <row r="134" ht="15.75" customHeight="1" s="279">
      <c r="A134" s="423" t="inlineStr">
        <is>
          <t>Nearly Lucky Number</t>
        </is>
      </c>
      <c r="B134" s="408">
        <f>HYPERLINK("http://codeforces.com/contest/110/problem/A","CF110-D2-A")</f>
        <v/>
      </c>
      <c r="C134" s="404" t="n"/>
      <c r="D134" s="404" t="n"/>
      <c r="E134" s="404" t="n"/>
      <c r="F134" s="404" t="n"/>
      <c r="G134" s="404" t="n"/>
      <c r="H134" s="404" t="n"/>
      <c r="I134" s="404">
        <f>SUM(E134:H134)</f>
        <v/>
      </c>
      <c r="J134" s="418" t="n"/>
      <c r="K134" s="404" t="n"/>
      <c r="L134" s="418" t="n"/>
      <c r="M134" s="416" t="n"/>
      <c r="N134" s="416" t="n"/>
      <c r="O134" s="416" t="n"/>
      <c r="P134" s="416" t="n"/>
      <c r="Q134" s="416" t="n"/>
      <c r="R134" s="416" t="n"/>
      <c r="S134" s="416" t="n"/>
      <c r="T134" s="416" t="n"/>
    </row>
    <row r="135" ht="15.75" customHeight="1" s="279">
      <c r="A135" s="407" t="inlineStr">
        <is>
          <t>Playing with Dice</t>
        </is>
      </c>
      <c r="B135" s="453">
        <f>HYPERLINK("http://codeforces.com/contest/378/problem/A","CF378-D2-A")</f>
        <v/>
      </c>
      <c r="C135" s="404" t="n"/>
      <c r="D135" s="404" t="n"/>
      <c r="E135" s="404" t="n"/>
      <c r="F135" s="404" t="n"/>
      <c r="G135" s="404" t="n"/>
      <c r="H135" s="404" t="n"/>
      <c r="I135" s="404">
        <f>SUM(E135:H135)</f>
        <v/>
      </c>
      <c r="J135" s="418" t="n"/>
      <c r="K135" s="404" t="n"/>
      <c r="L135" s="418" t="n"/>
      <c r="M135" s="416" t="n"/>
      <c r="N135" s="416" t="n"/>
      <c r="O135" s="416" t="n"/>
      <c r="P135" s="416" t="n"/>
      <c r="Q135" s="416" t="n"/>
      <c r="R135" s="416" t="n"/>
      <c r="S135" s="416" t="n"/>
      <c r="T135" s="416" t="n"/>
    </row>
    <row r="136" ht="15.75" customHeight="1" s="279">
      <c r="A136" s="423" t="inlineStr">
        <is>
          <t>A Good Contest</t>
        </is>
      </c>
      <c r="B136" s="408">
        <f>HYPERLINK("http://codeforces.com/contest/681/problem/A","CF681-D2-A")</f>
        <v/>
      </c>
      <c r="C136" s="404" t="n"/>
      <c r="D136" s="404" t="n"/>
      <c r="E136" s="404" t="n"/>
      <c r="F136" s="404" t="n"/>
      <c r="G136" s="404" t="n"/>
      <c r="H136" s="404" t="n"/>
      <c r="I136" s="404">
        <f>SUM(E136:H136)</f>
        <v/>
      </c>
      <c r="J136" s="418" t="n"/>
      <c r="K136" s="404" t="n"/>
      <c r="L136" s="418" t="n"/>
      <c r="M136" s="416" t="n"/>
      <c r="N136" s="416" t="n"/>
      <c r="O136" s="416" t="n"/>
      <c r="P136" s="416" t="n"/>
      <c r="Q136" s="416" t="n"/>
      <c r="R136" s="416" t="n"/>
      <c r="S136" s="416" t="n"/>
      <c r="T136" s="416" t="n"/>
    </row>
    <row r="137" ht="15.75" customHeight="1" s="279">
      <c r="A137" s="407" t="inlineStr">
        <is>
          <t>Beautiful Year</t>
        </is>
      </c>
      <c r="B137" s="453">
        <f>HYPERLINK("http://codeforces.com/contest/271/problem/A","CF271-D2-A")</f>
        <v/>
      </c>
      <c r="C137" s="404" t="n"/>
      <c r="D137" s="404" t="n"/>
      <c r="E137" s="404" t="n"/>
      <c r="F137" s="404" t="n"/>
      <c r="G137" s="404" t="n"/>
      <c r="H137" s="404" t="n"/>
      <c r="I137" s="404">
        <f>SUM(E137:H137)</f>
        <v/>
      </c>
      <c r="J137" s="418" t="n"/>
      <c r="K137" s="404" t="n"/>
      <c r="L137" s="418" t="n"/>
      <c r="M137" s="416" t="n"/>
      <c r="N137" s="416" t="n"/>
      <c r="O137" s="416" t="n"/>
      <c r="P137" s="416" t="n"/>
      <c r="Q137" s="416" t="n"/>
      <c r="R137" s="416" t="n"/>
      <c r="S137" s="416" t="n"/>
      <c r="T137" s="416" t="n"/>
    </row>
    <row r="138" ht="15.75" customHeight="1" s="279">
      <c r="A138" s="407" t="inlineStr">
        <is>
          <t>Far Relative’s Birthday Cake</t>
        </is>
      </c>
      <c r="B138" s="453">
        <f>HYPERLINK("http://codeforces.com/contest/629/problem/A","CF629-D2-A")</f>
        <v/>
      </c>
      <c r="C138" s="404" t="n"/>
      <c r="D138" s="404" t="n"/>
      <c r="E138" s="404" t="n"/>
      <c r="F138" s="404" t="n"/>
      <c r="G138" s="404" t="n"/>
      <c r="H138" s="404" t="n"/>
      <c r="I138" s="404">
        <f>SUM(E138:H138)</f>
        <v/>
      </c>
      <c r="J138" s="418" t="n"/>
      <c r="K138" s="404" t="n"/>
      <c r="L138" s="418" t="n"/>
      <c r="M138" s="416" t="n"/>
      <c r="N138" s="416" t="n"/>
      <c r="O138" s="416" t="n"/>
      <c r="P138" s="416" t="n"/>
      <c r="Q138" s="416" t="n"/>
      <c r="R138" s="416" t="n"/>
      <c r="S138" s="416" t="n"/>
      <c r="T138" s="416" t="n"/>
    </row>
    <row r="139" ht="15.75" customHeight="1" s="279">
      <c r="A139" s="407" t="inlineStr">
        <is>
          <t>Mashmokh and Lights</t>
        </is>
      </c>
      <c r="B139" s="453">
        <f>HYPERLINK("http://codeforces.com/contest/415/problem/A","CF415-D2-A")</f>
        <v/>
      </c>
      <c r="C139" s="404" t="n"/>
      <c r="D139" s="404" t="n"/>
      <c r="E139" s="404" t="n"/>
      <c r="F139" s="404" t="n"/>
      <c r="G139" s="404" t="n"/>
      <c r="H139" s="404" t="n"/>
      <c r="I139" s="404">
        <f>SUM(E139:H139)</f>
        <v/>
      </c>
      <c r="J139" s="418" t="n"/>
      <c r="K139" s="404" t="n"/>
      <c r="L139" s="418" t="n"/>
      <c r="M139" s="416" t="n"/>
      <c r="N139" s="416" t="n"/>
      <c r="O139" s="416" t="n"/>
      <c r="P139" s="416" t="n"/>
      <c r="Q139" s="416" t="n"/>
      <c r="R139" s="416" t="n"/>
      <c r="S139" s="416" t="n"/>
      <c r="T139" s="416" t="n"/>
    </row>
    <row r="140" ht="15.75" customHeight="1" s="279">
      <c r="A140" s="407" t="inlineStr">
        <is>
          <t>Triangular numbers</t>
        </is>
      </c>
      <c r="B140" s="453">
        <f>HYPERLINK("http://codeforces.com/contest/47/problem/A","CF47-D2-A")</f>
        <v/>
      </c>
      <c r="C140" s="404" t="n"/>
      <c r="D140" s="404" t="n"/>
      <c r="E140" s="404" t="n"/>
      <c r="F140" s="404" t="n"/>
      <c r="G140" s="404" t="n"/>
      <c r="H140" s="404" t="n"/>
      <c r="I140" s="404">
        <f>SUM(E140:H140)</f>
        <v/>
      </c>
      <c r="J140" s="418" t="n"/>
      <c r="K140" s="404" t="n"/>
      <c r="L140" s="418" t="n"/>
      <c r="M140" s="295" t="n"/>
      <c r="N140" s="295" t="n"/>
      <c r="O140" s="295" t="n"/>
      <c r="P140" s="295" t="n"/>
      <c r="Q140" s="295" t="n"/>
      <c r="R140" s="295" t="n"/>
      <c r="S140" s="295" t="n"/>
      <c r="T140" s="295" t="n"/>
    </row>
    <row r="141" ht="15.75" customHeight="1" s="279">
      <c r="A141" s="407" t="n"/>
      <c r="B141" s="407" t="n"/>
      <c r="C141" s="404" t="n"/>
      <c r="D141" s="404" t="n"/>
      <c r="E141" s="404" t="n"/>
      <c r="F141" s="404" t="n"/>
      <c r="G141" s="404" t="n"/>
      <c r="H141" s="404" t="n"/>
      <c r="I141" s="404">
        <f>SUM(E141:H141)</f>
        <v/>
      </c>
      <c r="J141" s="418" t="n"/>
      <c r="K141" s="404" t="n"/>
      <c r="L141" s="418" t="n"/>
      <c r="M141" s="295" t="n"/>
      <c r="N141" s="295" t="n"/>
      <c r="O141" s="295" t="n"/>
      <c r="P141" s="295" t="n"/>
      <c r="Q141" s="295" t="n"/>
      <c r="R141" s="295" t="n"/>
      <c r="S141" s="295" t="n"/>
      <c r="T141" s="295" t="n"/>
    </row>
    <row r="142" ht="15.75" customHeight="1" s="279">
      <c r="A142" s="407" t="inlineStr">
        <is>
          <t>Roma and Lucky Numbers</t>
        </is>
      </c>
      <c r="B142" s="453">
        <f>HYPERLINK("http://codeforces.com/contest/262/problem/A","CF262-D2-A")</f>
        <v/>
      </c>
      <c r="C142" s="404" t="n"/>
      <c r="D142" s="404" t="n"/>
      <c r="E142" s="404" t="n"/>
      <c r="F142" s="404" t="n"/>
      <c r="G142" s="404" t="n"/>
      <c r="H142" s="404" t="n"/>
      <c r="I142" s="404">
        <f>SUM(E142:H142)</f>
        <v/>
      </c>
      <c r="J142" s="418" t="n"/>
      <c r="K142" s="404" t="n"/>
      <c r="L142" s="418" t="n"/>
      <c r="M142" s="416" t="n"/>
      <c r="N142" s="416" t="n"/>
      <c r="O142" s="416" t="n"/>
      <c r="P142" s="416" t="n"/>
      <c r="Q142" s="416" t="n"/>
      <c r="R142" s="416" t="n"/>
      <c r="S142" s="416" t="n"/>
      <c r="T142" s="416" t="n"/>
    </row>
    <row r="143" ht="15.75" customHeight="1" s="279">
      <c r="A143" s="407" t="inlineStr">
        <is>
          <t>Toy Army</t>
        </is>
      </c>
      <c r="B143" s="453">
        <f>HYPERLINK("http://codeforces.com/contest/84/problem/A","CF84-D2-A")</f>
        <v/>
      </c>
      <c r="C143" s="404" t="n"/>
      <c r="D143" s="404" t="n"/>
      <c r="E143" s="404" t="n"/>
      <c r="F143" s="404" t="n"/>
      <c r="G143" s="404" t="n"/>
      <c r="H143" s="404" t="n"/>
      <c r="I143" s="404">
        <f>SUM(E143:H143)</f>
        <v/>
      </c>
      <c r="J143" s="418" t="n"/>
      <c r="K143" s="404" t="n"/>
      <c r="L143" s="418" t="n"/>
      <c r="M143" s="295" t="n"/>
      <c r="N143" s="295" t="n"/>
      <c r="O143" s="295" t="n"/>
      <c r="P143" s="295" t="n"/>
      <c r="Q143" s="295" t="n"/>
      <c r="R143" s="295" t="n"/>
      <c r="S143" s="295" t="n"/>
      <c r="T143" s="295" t="n"/>
    </row>
    <row r="144" ht="15.75" customHeight="1" s="279">
      <c r="A144" s="407" t="inlineStr">
        <is>
          <t>Levko and Table</t>
        </is>
      </c>
      <c r="B144" s="453">
        <f>HYPERLINK("http://codeforces.com/contest/361/problem/A","CF361-D2-A")</f>
        <v/>
      </c>
      <c r="C144" s="404" t="n"/>
      <c r="D144" s="404" t="n"/>
      <c r="E144" s="404" t="n"/>
      <c r="F144" s="404" t="n"/>
      <c r="G144" s="404" t="n"/>
      <c r="H144" s="404" t="n"/>
      <c r="I144" s="404">
        <f>SUM(E144:H144)</f>
        <v/>
      </c>
      <c r="J144" s="418" t="n"/>
      <c r="K144" s="404" t="n"/>
      <c r="L144" s="418" t="n"/>
      <c r="M144" s="295" t="n"/>
      <c r="N144" s="295" t="n"/>
      <c r="O144" s="295" t="n"/>
      <c r="P144" s="295" t="n"/>
      <c r="Q144" s="295" t="n"/>
      <c r="R144" s="295" t="n"/>
      <c r="S144" s="295" t="n"/>
      <c r="T144" s="295" t="n"/>
    </row>
    <row r="145" ht="15.75" customHeight="1" s="279">
      <c r="A145" s="407" t="inlineStr">
        <is>
          <t>Cards</t>
        </is>
      </c>
      <c r="B145" s="453">
        <f>HYPERLINK("http://codeforces.com/contest/701/problem/A","CF701-D2-A")</f>
        <v/>
      </c>
      <c r="C145" s="404" t="n"/>
      <c r="D145" s="404" t="n"/>
      <c r="E145" s="404" t="n"/>
      <c r="F145" s="404" t="n"/>
      <c r="G145" s="404" t="n"/>
      <c r="H145" s="404" t="n"/>
      <c r="I145" s="404">
        <f>SUM(E145:H145)</f>
        <v/>
      </c>
      <c r="J145" s="418" t="n"/>
      <c r="K145" s="404" t="n"/>
      <c r="L145" s="418" t="n"/>
      <c r="M145" s="295" t="n"/>
      <c r="N145" s="295" t="n"/>
      <c r="O145" s="295" t="n"/>
      <c r="P145" s="295" t="n"/>
      <c r="Q145" s="295" t="n"/>
      <c r="R145" s="295" t="n"/>
      <c r="S145" s="295" t="n"/>
      <c r="T145" s="295" t="n"/>
    </row>
    <row r="146" ht="15.75" customHeight="1" s="279">
      <c r="A146" s="407" t="inlineStr">
        <is>
          <t>Wizards' Duel</t>
        </is>
      </c>
      <c r="B146" s="453">
        <f>HYPERLINK("http://codeforces.com/contest/591/problem/A","CF591-D2-A")</f>
        <v/>
      </c>
      <c r="C146" s="404" t="n"/>
      <c r="D146" s="404" t="n"/>
      <c r="E146" s="404" t="n"/>
      <c r="F146" s="404" t="n"/>
      <c r="G146" s="404" t="n"/>
      <c r="H146" s="404" t="n"/>
      <c r="I146" s="404">
        <f>SUM(E146:H146)</f>
        <v/>
      </c>
      <c r="J146" s="418" t="n"/>
      <c r="K146" s="404" t="n"/>
      <c r="L146" s="418" t="n"/>
      <c r="M146" s="295" t="n"/>
      <c r="N146" s="295" t="n"/>
      <c r="O146" s="295" t="n"/>
      <c r="P146" s="295" t="n"/>
      <c r="Q146" s="295" t="n"/>
      <c r="R146" s="295" t="n"/>
      <c r="S146" s="295" t="n"/>
      <c r="T146" s="295" t="n"/>
    </row>
    <row r="147" ht="15.75" customHeight="1" s="279">
      <c r="A147" s="407" t="inlineStr">
        <is>
          <t>Combination Lock</t>
        </is>
      </c>
      <c r="B147" s="453">
        <f>HYPERLINK("http://codeforces.com/contest/540/problem/A","CF540-D2-A")</f>
        <v/>
      </c>
      <c r="C147" s="404" t="n"/>
      <c r="D147" s="404" t="n"/>
      <c r="E147" s="404" t="n"/>
      <c r="F147" s="404" t="n"/>
      <c r="G147" s="404" t="n"/>
      <c r="H147" s="404" t="n"/>
      <c r="I147" s="404">
        <f>SUM(E147:H147)</f>
        <v/>
      </c>
      <c r="J147" s="418" t="n"/>
      <c r="K147" s="404" t="n"/>
      <c r="L147" s="418" t="n"/>
      <c r="M147" s="295" t="n"/>
      <c r="N147" s="295" t="n"/>
      <c r="O147" s="295" t="n"/>
      <c r="P147" s="295" t="n"/>
      <c r="Q147" s="295" t="n"/>
      <c r="R147" s="295" t="n"/>
      <c r="S147" s="295" t="n"/>
      <c r="T147" s="295" t="n"/>
    </row>
    <row r="148" ht="15.75" customHeight="1" s="279">
      <c r="A148" s="407" t="inlineStr">
        <is>
          <t>Summer Camp</t>
        </is>
      </c>
      <c r="B148" s="453">
        <f>HYPERLINK("http://codeforces.com/contest/672/problem/A","CF672-D2-A")</f>
        <v/>
      </c>
      <c r="C148" s="404" t="n"/>
      <c r="D148" s="404" t="n"/>
      <c r="E148" s="404" t="n"/>
      <c r="F148" s="404" t="n"/>
      <c r="G148" s="404" t="n"/>
      <c r="H148" s="404" t="n"/>
      <c r="I148" s="404">
        <f>SUM(E148:H148)</f>
        <v/>
      </c>
      <c r="J148" s="418" t="n"/>
      <c r="K148" s="404" t="n"/>
      <c r="L148" s="418" t="n"/>
      <c r="M148" s="295" t="n"/>
      <c r="N148" s="295" t="n"/>
      <c r="O148" s="295" t="n"/>
      <c r="P148" s="295" t="n"/>
      <c r="Q148" s="295" t="n"/>
      <c r="R148" s="295" t="n"/>
      <c r="S148" s="295" t="n"/>
      <c r="T148" s="295" t="n"/>
    </row>
    <row r="149" ht="15.75" customHeight="1" s="279">
      <c r="A149" s="295" t="inlineStr">
        <is>
          <t>Soft Drinking</t>
        </is>
      </c>
      <c r="B149" s="417">
        <f>HYPERLINK("http://codeforces.com/contest/151/problem/A","CF151-D2-A")</f>
        <v/>
      </c>
      <c r="C149" s="404" t="n"/>
      <c r="D149" s="404" t="n"/>
      <c r="E149" s="404" t="n"/>
      <c r="F149" s="404" t="n"/>
      <c r="G149" s="404" t="n"/>
      <c r="H149" s="404" t="n"/>
      <c r="I149" s="404">
        <f>SUM(E149:H149)</f>
        <v/>
      </c>
      <c r="J149" s="418" t="n"/>
      <c r="K149" s="404" t="n"/>
      <c r="L149" s="418" t="n"/>
      <c r="M149" s="295" t="n"/>
      <c r="N149" s="295" t="n"/>
      <c r="O149" s="295" t="n"/>
      <c r="P149" s="295" t="n"/>
      <c r="Q149" s="295" t="n"/>
      <c r="R149" s="295" t="n"/>
      <c r="S149" s="295" t="n"/>
      <c r="T149" s="295" t="n"/>
    </row>
    <row r="150" ht="15.75" customHeight="1" s="279">
      <c r="A150" s="295" t="inlineStr">
        <is>
          <t>Coder</t>
        </is>
      </c>
      <c r="B150" s="417">
        <f>HYPERLINK("http://codeforces.com/contest/384/problem/A","CF384-D2-A")</f>
        <v/>
      </c>
      <c r="C150" s="404" t="n"/>
      <c r="D150" s="404" t="n"/>
      <c r="E150" s="404" t="n"/>
      <c r="F150" s="404" t="n"/>
      <c r="G150" s="404" t="n"/>
      <c r="H150" s="404" t="n"/>
      <c r="I150" s="404">
        <f>SUM(E150:H150)</f>
        <v/>
      </c>
      <c r="J150" s="418" t="n"/>
      <c r="K150" s="404" t="n"/>
      <c r="L150" s="418" t="n"/>
      <c r="M150" s="295" t="n"/>
      <c r="N150" s="295" t="n"/>
      <c r="O150" s="295" t="n"/>
      <c r="P150" s="295" t="n"/>
      <c r="Q150" s="295" t="n"/>
      <c r="R150" s="295" t="n"/>
      <c r="S150" s="295" t="n"/>
      <c r="T150" s="295" t="n"/>
    </row>
    <row r="151" ht="15.75" customHeight="1" s="279">
      <c r="A151" s="407" t="inlineStr">
        <is>
          <t>GukiZ and Contest</t>
        </is>
      </c>
      <c r="B151" s="453">
        <f>HYPERLINK("http://codeforces.com/contest/551/problem/A","CF551-D2-A")</f>
        <v/>
      </c>
      <c r="C151" s="404" t="n"/>
      <c r="D151" s="404" t="n"/>
      <c r="E151" s="404" t="n"/>
      <c r="F151" s="404" t="n"/>
      <c r="G151" s="404" t="n"/>
      <c r="H151" s="404" t="n"/>
      <c r="I151" s="404">
        <f>SUM(E151:H151)</f>
        <v/>
      </c>
      <c r="J151" s="418" t="n"/>
      <c r="K151" s="404" t="n"/>
      <c r="L151" s="418" t="n"/>
      <c r="M151" s="416" t="n"/>
      <c r="N151" s="416" t="n"/>
      <c r="O151" s="416" t="n"/>
      <c r="P151" s="416" t="n"/>
      <c r="Q151" s="416" t="n"/>
      <c r="R151" s="416" t="n"/>
      <c r="S151" s="416" t="n"/>
      <c r="T151" s="416" t="n"/>
    </row>
    <row r="152" ht="15.75" customHeight="1" s="279">
      <c r="A152" s="407" t="n"/>
      <c r="B152" s="407" t="n"/>
      <c r="C152" s="404" t="n"/>
      <c r="D152" s="404" t="n"/>
      <c r="E152" s="404" t="n"/>
      <c r="F152" s="404" t="n"/>
      <c r="G152" s="404" t="n"/>
      <c r="H152" s="404" t="n"/>
      <c r="I152" s="404">
        <f>SUM(E152:H152)</f>
        <v/>
      </c>
      <c r="J152" s="418" t="n"/>
      <c r="K152" s="404" t="n"/>
      <c r="L152" s="418" t="n"/>
      <c r="M152" s="416" t="n"/>
      <c r="N152" s="416" t="n"/>
      <c r="O152" s="416" t="n"/>
      <c r="P152" s="416" t="n"/>
      <c r="Q152" s="416" t="n"/>
      <c r="R152" s="416" t="n"/>
      <c r="S152" s="416" t="n"/>
      <c r="T152" s="416" t="n"/>
    </row>
    <row r="153" ht="15.75" customHeight="1" s="279">
      <c r="A153" s="295" t="inlineStr">
        <is>
          <t>Circle Line</t>
        </is>
      </c>
      <c r="B153" s="417">
        <f>HYPERLINK("http://codeforces.com/contest/278/problem/A","CF278-D2-A")</f>
        <v/>
      </c>
      <c r="C153" s="404" t="n"/>
      <c r="D153" s="404" t="n"/>
      <c r="E153" s="404" t="n"/>
      <c r="F153" s="404" t="n"/>
      <c r="G153" s="404" t="n"/>
      <c r="H153" s="404" t="n"/>
      <c r="I153" s="404">
        <f>SUM(E153:H153)</f>
        <v/>
      </c>
      <c r="J153" s="418" t="n"/>
      <c r="K153" s="404" t="n"/>
      <c r="L153" s="418" t="n"/>
      <c r="M153" s="416" t="n"/>
      <c r="N153" s="416" t="n"/>
      <c r="O153" s="416" t="n"/>
      <c r="P153" s="416" t="n"/>
      <c r="Q153" s="416" t="n"/>
      <c r="R153" s="416" t="n"/>
      <c r="S153" s="416" t="n"/>
      <c r="T153" s="416" t="n"/>
    </row>
    <row r="154" ht="15.75" customHeight="1" s="279">
      <c r="A154" s="407" t="inlineStr">
        <is>
          <t>Patrick and Shopping</t>
        </is>
      </c>
      <c r="B154" s="453">
        <f>HYPERLINK("http://codeforces.com/contest/599/problem/A","CF599-D2-A")</f>
        <v/>
      </c>
      <c r="C154" s="404" t="n"/>
      <c r="D154" s="404" t="n"/>
      <c r="E154" s="404" t="n"/>
      <c r="F154" s="404" t="n"/>
      <c r="G154" s="404" t="n"/>
      <c r="H154" s="404" t="n"/>
      <c r="I154" s="404">
        <f>SUM(E154:H154)</f>
        <v/>
      </c>
      <c r="J154" s="418" t="n"/>
      <c r="K154" s="404" t="n"/>
      <c r="L154" s="418" t="n"/>
      <c r="M154" s="416" t="n"/>
      <c r="N154" s="416" t="n"/>
      <c r="O154" s="416" t="n"/>
      <c r="P154" s="416" t="n"/>
      <c r="Q154" s="416" t="n"/>
      <c r="R154" s="416" t="n"/>
      <c r="S154" s="416" t="n"/>
      <c r="T154" s="416" t="n"/>
    </row>
    <row r="155" ht="15.75" customHeight="1" s="279">
      <c r="A155" s="407" t="inlineStr">
        <is>
          <t>Choosing Teams</t>
        </is>
      </c>
      <c r="B155" s="453">
        <f>HYPERLINK("http://codeforces.com/contest/432/problem/A","CF432-D2-A")</f>
        <v/>
      </c>
      <c r="C155" s="404" t="n"/>
      <c r="D155" s="404" t="n"/>
      <c r="E155" s="404" t="n"/>
      <c r="F155" s="404" t="n"/>
      <c r="G155" s="404" t="n"/>
      <c r="H155" s="404" t="n"/>
      <c r="I155" s="404">
        <f>SUM(E155:H155)</f>
        <v/>
      </c>
      <c r="J155" s="418" t="n"/>
      <c r="K155" s="404" t="n"/>
      <c r="L155" s="418" t="n"/>
      <c r="M155" s="416" t="n"/>
      <c r="N155" s="416" t="n"/>
      <c r="O155" s="416" t="n"/>
      <c r="P155" s="416" t="n"/>
      <c r="Q155" s="416" t="n"/>
      <c r="R155" s="416" t="n"/>
      <c r="S155" s="416" t="n"/>
      <c r="T155" s="416" t="n"/>
    </row>
    <row r="156" ht="15.75" customHeight="1" s="279">
      <c r="A156" s="407" t="inlineStr">
        <is>
          <t>Vanya and Cubes</t>
        </is>
      </c>
      <c r="B156" s="453">
        <f>HYPERLINK("http://codeforces.com/contest/492/problem/A","CF492-D2-A")</f>
        <v/>
      </c>
      <c r="C156" s="404" t="n"/>
      <c r="D156" s="404" t="n"/>
      <c r="E156" s="404" t="n"/>
      <c r="F156" s="404" t="n"/>
      <c r="G156" s="404" t="n"/>
      <c r="H156" s="404" t="n"/>
      <c r="I156" s="404">
        <f>SUM(E156:H156)</f>
        <v/>
      </c>
      <c r="J156" s="418" t="n"/>
      <c r="K156" s="404" t="n"/>
      <c r="L156" s="418" t="n"/>
      <c r="M156" s="416" t="n"/>
      <c r="N156" s="416" t="n"/>
      <c r="O156" s="416" t="n"/>
      <c r="P156" s="416" t="n"/>
      <c r="Q156" s="416" t="n"/>
      <c r="R156" s="416" t="n"/>
      <c r="S156" s="416" t="n"/>
      <c r="T156" s="416" t="n"/>
    </row>
    <row r="157" ht="15.75" customHeight="1" s="279">
      <c r="A157" s="295" t="inlineStr">
        <is>
          <t>Insomnia cure</t>
        </is>
      </c>
      <c r="B157" s="417">
        <f>HYPERLINK("http://codeforces.com/contest/148/problem/A","CF148-D2-A")</f>
        <v/>
      </c>
      <c r="C157" s="404" t="n"/>
      <c r="D157" s="404" t="n"/>
      <c r="E157" s="404" t="n"/>
      <c r="F157" s="404" t="n"/>
      <c r="G157" s="404" t="n"/>
      <c r="H157" s="404" t="n"/>
      <c r="I157" s="404">
        <f>SUM(E157:H157)</f>
        <v/>
      </c>
      <c r="J157" s="418" t="n"/>
      <c r="K157" s="404" t="n"/>
      <c r="L157" s="418" t="n"/>
      <c r="M157" s="416" t="n"/>
      <c r="N157" s="416" t="n"/>
      <c r="O157" s="416" t="n"/>
      <c r="P157" s="416" t="n"/>
      <c r="Q157" s="416" t="n"/>
      <c r="R157" s="416" t="n"/>
      <c r="S157" s="416" t="n"/>
      <c r="T157" s="416" t="n"/>
    </row>
    <row r="158" ht="15.75" customHeight="1" s="279">
      <c r="A158" s="407" t="inlineStr">
        <is>
          <t>Cakeminator</t>
        </is>
      </c>
      <c r="B158" s="453">
        <f>HYPERLINK("http://codeforces.com/contest/330/problem/A","CF330-D2-A")</f>
        <v/>
      </c>
      <c r="C158" s="404" t="n"/>
      <c r="D158" s="404" t="n"/>
      <c r="E158" s="404" t="n"/>
      <c r="F158" s="404" t="n"/>
      <c r="G158" s="404" t="n"/>
      <c r="H158" s="404" t="n"/>
      <c r="I158" s="404">
        <f>SUM(E158:H158)</f>
        <v/>
      </c>
      <c r="J158" s="418" t="n"/>
      <c r="K158" s="404" t="n"/>
      <c r="L158" s="418" t="n"/>
      <c r="M158" s="416" t="n"/>
      <c r="N158" s="416" t="n"/>
      <c r="O158" s="416" t="n"/>
      <c r="P158" s="416" t="n"/>
      <c r="Q158" s="416" t="n"/>
      <c r="R158" s="416" t="n"/>
      <c r="S158" s="416" t="n"/>
      <c r="T158" s="416" t="n"/>
    </row>
    <row r="159" ht="15.75" customHeight="1" s="279">
      <c r="A159" s="295" t="inlineStr">
        <is>
          <t>Flag</t>
        </is>
      </c>
      <c r="B159" s="417">
        <f>HYPERLINK("http://codeforces.com/contest/16/problem/A","CF16-D2-A")</f>
        <v/>
      </c>
      <c r="C159" s="404" t="n"/>
      <c r="D159" s="404" t="n"/>
      <c r="E159" s="404" t="n"/>
      <c r="F159" s="404" t="n"/>
      <c r="G159" s="404" t="n"/>
      <c r="H159" s="404" t="n"/>
      <c r="I159" s="404">
        <f>SUM(E159:H159)</f>
        <v/>
      </c>
      <c r="J159" s="418" t="n"/>
      <c r="K159" s="404" t="n"/>
      <c r="L159" s="418" t="n"/>
      <c r="M159" s="295" t="n"/>
      <c r="N159" s="295" t="n"/>
      <c r="O159" s="295" t="n"/>
      <c r="P159" s="295" t="n"/>
      <c r="Q159" s="295" t="n"/>
      <c r="R159" s="295" t="n"/>
      <c r="S159" s="295" t="n"/>
      <c r="T159" s="295" t="n"/>
    </row>
    <row r="160" ht="15.75" customHeight="1" s="279">
      <c r="A160" s="407" t="inlineStr">
        <is>
          <t>Cupboards</t>
        </is>
      </c>
      <c r="B160" s="453">
        <f>HYPERLINK("http://codeforces.com/contest/248/problem/A","CF248-D2-A")</f>
        <v/>
      </c>
      <c r="C160" s="404" t="n"/>
      <c r="D160" s="404" t="n"/>
      <c r="E160" s="404" t="n"/>
      <c r="F160" s="404" t="n"/>
      <c r="G160" s="404" t="n"/>
      <c r="H160" s="404" t="n"/>
      <c r="I160" s="404">
        <f>SUM(E160:H160)</f>
        <v/>
      </c>
      <c r="J160" s="418" t="n"/>
      <c r="K160" s="404" t="n"/>
      <c r="L160" s="418" t="n"/>
      <c r="M160" s="295" t="n"/>
      <c r="N160" s="295" t="n"/>
      <c r="O160" s="295" t="n"/>
      <c r="P160" s="295" t="n"/>
      <c r="Q160" s="295" t="n"/>
      <c r="R160" s="295" t="n"/>
      <c r="S160" s="295" t="n"/>
      <c r="T160" s="295" t="n"/>
    </row>
    <row r="161" ht="15.75" customHeight="1" s="279">
      <c r="A161" s="407" t="inlineStr">
        <is>
          <t>Soroban</t>
        </is>
      </c>
      <c r="B161" s="453">
        <f>HYPERLINK("http://codeforces.com/contest/363/problem/A","CF363-D2-A")</f>
        <v/>
      </c>
      <c r="C161" s="404" t="n"/>
      <c r="D161" s="404" t="n"/>
      <c r="E161" s="404" t="n"/>
      <c r="F161" s="404" t="n"/>
      <c r="G161" s="404" t="n"/>
      <c r="H161" s="404" t="n"/>
      <c r="I161" s="404">
        <f>SUM(E161:H161)</f>
        <v/>
      </c>
      <c r="J161" s="418" t="n"/>
      <c r="K161" s="404" t="n"/>
      <c r="L161" s="418" t="n"/>
      <c r="M161" s="295" t="n"/>
      <c r="N161" s="295" t="n"/>
      <c r="O161" s="295" t="n"/>
      <c r="P161" s="295" t="n"/>
      <c r="Q161" s="295" t="n"/>
      <c r="R161" s="295" t="n"/>
      <c r="S161" s="295" t="n"/>
      <c r="T161" s="295" t="n"/>
    </row>
    <row r="162" ht="15.75" customHeight="1" s="279">
      <c r="A162" s="407" t="n"/>
      <c r="B162" s="407" t="n"/>
      <c r="C162" s="404" t="n"/>
      <c r="D162" s="404" t="n"/>
      <c r="E162" s="404" t="n"/>
      <c r="F162" s="404" t="n"/>
      <c r="G162" s="404" t="n"/>
      <c r="H162" s="404" t="n"/>
      <c r="I162" s="404">
        <f>SUM(E162:H162)</f>
        <v/>
      </c>
      <c r="J162" s="418" t="n"/>
      <c r="K162" s="404" t="n"/>
      <c r="L162" s="418" t="n"/>
      <c r="M162" s="295" t="n"/>
      <c r="N162" s="295" t="n"/>
      <c r="O162" s="295" t="n"/>
      <c r="P162" s="295" t="n"/>
      <c r="Q162" s="295" t="n"/>
      <c r="R162" s="295" t="n"/>
      <c r="S162" s="295" t="n"/>
      <c r="T162" s="295" t="n"/>
    </row>
    <row r="163" ht="15.75" customHeight="1" s="279">
      <c r="A163" s="295" t="inlineStr">
        <is>
          <t>Amusing Joke</t>
        </is>
      </c>
      <c r="B163" s="417">
        <f>HYPERLINK("http://codeforces.com/contest/141/problem/A","CF141-D2-A")</f>
        <v/>
      </c>
      <c r="C163" s="404" t="n"/>
      <c r="D163" s="404" t="n"/>
      <c r="E163" s="404" t="n"/>
      <c r="F163" s="404" t="n"/>
      <c r="G163" s="404" t="n"/>
      <c r="H163" s="404" t="n"/>
      <c r="I163" s="404">
        <f>SUM(E163:H163)</f>
        <v/>
      </c>
      <c r="J163" s="418" t="n"/>
      <c r="K163" s="404" t="n"/>
      <c r="L163" s="418" t="n"/>
      <c r="M163" s="295" t="n"/>
      <c r="N163" s="295" t="n"/>
      <c r="O163" s="295" t="n"/>
      <c r="P163" s="295" t="n"/>
      <c r="Q163" s="295" t="n"/>
      <c r="R163" s="295" t="n"/>
      <c r="S163" s="295" t="n"/>
      <c r="T163" s="295" t="n"/>
    </row>
    <row r="164" ht="15.75" customHeight="1" s="279">
      <c r="A164" s="407" t="inlineStr">
        <is>
          <t>Lights Out</t>
        </is>
      </c>
      <c r="B164" s="453">
        <f>HYPERLINK("http://codeforces.com/contest/275/problem/A","CF275-D2-A")</f>
        <v/>
      </c>
      <c r="C164" s="404" t="n"/>
      <c r="D164" s="404" t="n"/>
      <c r="E164" s="404" t="n"/>
      <c r="F164" s="404" t="n"/>
      <c r="G164" s="404" t="n"/>
      <c r="H164" s="404" t="n"/>
      <c r="I164" s="404">
        <f>SUM(E164:H164)</f>
        <v/>
      </c>
      <c r="J164" s="418" t="n"/>
      <c r="K164" s="404" t="n"/>
      <c r="L164" s="418" t="n"/>
      <c r="M164" s="295" t="n"/>
      <c r="N164" s="295" t="n"/>
      <c r="O164" s="295" t="n"/>
      <c r="P164" s="295" t="n"/>
      <c r="Q164" s="295" t="n"/>
      <c r="R164" s="295" t="n"/>
      <c r="S164" s="295" t="n"/>
      <c r="T164" s="295" t="n"/>
    </row>
    <row r="165" ht="15.75" customHeight="1" s="279">
      <c r="A165" s="407" t="inlineStr">
        <is>
          <t>Lunch Rush</t>
        </is>
      </c>
      <c r="B165" s="453">
        <f>HYPERLINK("http://codeforces.com/contest/276/problem/A","CF276-D2-A")</f>
        <v/>
      </c>
      <c r="C165" s="404" t="n"/>
      <c r="D165" s="404" t="n"/>
      <c r="E165" s="404" t="n"/>
      <c r="F165" s="404" t="n"/>
      <c r="G165" s="404" t="n"/>
      <c r="H165" s="404" t="n"/>
      <c r="I165" s="404">
        <f>SUM(E165:H165)</f>
        <v/>
      </c>
      <c r="J165" s="418" t="n"/>
      <c r="K165" s="404" t="n"/>
      <c r="L165" s="418" t="n"/>
      <c r="M165" s="416" t="n"/>
      <c r="N165" s="416" t="n"/>
      <c r="O165" s="416" t="n"/>
      <c r="P165" s="416" t="n"/>
      <c r="Q165" s="416" t="n"/>
      <c r="R165" s="416" t="n"/>
      <c r="S165" s="416" t="n"/>
      <c r="T165" s="416" t="n"/>
    </row>
    <row r="166" ht="15.75" customHeight="1" s="279">
      <c r="A166" s="407" t="inlineStr">
        <is>
          <t>Duff and Meat</t>
        </is>
      </c>
      <c r="B166" s="453">
        <f>HYPERLINK("http://codeforces.com/contest/588/problem/A","CF588-D2-A")</f>
        <v/>
      </c>
      <c r="C166" s="404" t="n"/>
      <c r="D166" s="404" t="n"/>
      <c r="E166" s="404" t="n"/>
      <c r="F166" s="404" t="n"/>
      <c r="G166" s="404" t="n"/>
      <c r="H166" s="404" t="n"/>
      <c r="I166" s="404">
        <f>SUM(E166:H166)</f>
        <v/>
      </c>
      <c r="J166" s="418" t="n"/>
      <c r="K166" s="404" t="n"/>
      <c r="L166" s="418" t="n"/>
      <c r="M166" s="416" t="n"/>
      <c r="N166" s="416" t="n"/>
      <c r="O166" s="416" t="n"/>
      <c r="P166" s="416" t="n"/>
      <c r="Q166" s="416" t="n"/>
      <c r="R166" s="416" t="n"/>
      <c r="S166" s="416" t="n"/>
      <c r="T166" s="416" t="n"/>
    </row>
    <row r="167" ht="15.75" customHeight="1" s="279">
      <c r="A167" s="407" t="inlineStr">
        <is>
          <t>Vanya and Cards</t>
        </is>
      </c>
      <c r="B167" s="453">
        <f>HYPERLINK("http://codeforces.com/contest/401/problem/A","CF401-D2-A")</f>
        <v/>
      </c>
      <c r="C167" s="404" t="n"/>
      <c r="D167" s="404" t="n"/>
      <c r="E167" s="404" t="n"/>
      <c r="F167" s="404" t="n"/>
      <c r="G167" s="404" t="n"/>
      <c r="H167" s="404" t="n"/>
      <c r="I167" s="404">
        <f>SUM(E167:H167)</f>
        <v/>
      </c>
      <c r="J167" s="418" t="n"/>
      <c r="K167" s="404" t="n"/>
      <c r="L167" s="418" t="n"/>
      <c r="M167" s="416" t="n"/>
      <c r="N167" s="416" t="n"/>
      <c r="O167" s="416" t="n"/>
      <c r="P167" s="416" t="n"/>
      <c r="Q167" s="416" t="n"/>
      <c r="R167" s="416" t="n"/>
      <c r="S167" s="416" t="n"/>
      <c r="T167" s="416" t="n"/>
    </row>
    <row r="168" ht="15.75" customHeight="1" s="279">
      <c r="A168" s="407" t="inlineStr">
        <is>
          <t>Squats</t>
        </is>
      </c>
      <c r="B168" s="453">
        <f>HYPERLINK("http://codeforces.com/contest/424/problem/A","CF424-D2-A")</f>
        <v/>
      </c>
      <c r="C168" s="404" t="n"/>
      <c r="D168" s="404" t="n"/>
      <c r="E168" s="404" t="n"/>
      <c r="F168" s="404" t="n"/>
      <c r="G168" s="404" t="n"/>
      <c r="H168" s="404" t="n"/>
      <c r="I168" s="404">
        <f>SUM(E168:H168)</f>
        <v/>
      </c>
      <c r="J168" s="418" t="n"/>
      <c r="K168" s="404" t="n"/>
      <c r="L168" s="418" t="n"/>
      <c r="M168" s="416" t="n"/>
      <c r="N168" s="416" t="n"/>
      <c r="O168" s="416" t="n"/>
      <c r="P168" s="416" t="n"/>
      <c r="Q168" s="416" t="n"/>
      <c r="R168" s="416" t="n"/>
      <c r="S168" s="416" t="n"/>
      <c r="T168" s="416" t="n"/>
    </row>
    <row r="169" ht="15.75" customHeight="1" s="279">
      <c r="A169" s="407" t="inlineStr">
        <is>
          <t>Arrival of the General</t>
        </is>
      </c>
      <c r="B169" s="453">
        <f>HYPERLINK("http://codeforces.com/contest/144/problem/A","CF144-D2-A")</f>
        <v/>
      </c>
      <c r="C169" s="404" t="n"/>
      <c r="D169" s="404" t="n"/>
      <c r="E169" s="404" t="n"/>
      <c r="F169" s="404" t="n"/>
      <c r="G169" s="404" t="n"/>
      <c r="H169" s="404" t="n"/>
      <c r="I169" s="404">
        <f>SUM(E169:H169)</f>
        <v/>
      </c>
      <c r="J169" s="418" t="n"/>
      <c r="K169" s="404" t="n"/>
      <c r="L169" s="418" t="n"/>
      <c r="M169" s="416" t="n"/>
      <c r="N169" s="416" t="n"/>
      <c r="O169" s="416" t="n"/>
      <c r="P169" s="416" t="n"/>
      <c r="Q169" s="416" t="n"/>
      <c r="R169" s="416" t="n"/>
      <c r="S169" s="416" t="n"/>
      <c r="T169" s="416" t="n"/>
    </row>
    <row r="170" ht="15.75" customHeight="1" s="279">
      <c r="A170" s="407" t="inlineStr">
        <is>
          <t>Sinking Ship</t>
        </is>
      </c>
      <c r="B170" s="453">
        <f>HYPERLINK("http://codeforces.com/contest/63/problem/A","CF63-D2-A")</f>
        <v/>
      </c>
      <c r="C170" s="404" t="n"/>
      <c r="D170" s="404" t="n"/>
      <c r="E170" s="404" t="n"/>
      <c r="F170" s="404" t="n"/>
      <c r="G170" s="404" t="n"/>
      <c r="H170" s="404" t="n"/>
      <c r="I170" s="404">
        <f>SUM(E170:H170)</f>
        <v/>
      </c>
      <c r="J170" s="418" t="n"/>
      <c r="K170" s="404" t="n"/>
      <c r="L170" s="418" t="n"/>
      <c r="M170" s="416" t="n"/>
      <c r="N170" s="416" t="n"/>
      <c r="O170" s="416" t="n"/>
      <c r="P170" s="416" t="n"/>
      <c r="Q170" s="416" t="n"/>
      <c r="R170" s="416" t="n"/>
      <c r="S170" s="416" t="n"/>
      <c r="T170" s="416" t="n"/>
    </row>
    <row r="171" ht="15.75" customHeight="1" s="279">
      <c r="A171" s="407" t="inlineStr">
        <is>
          <t>LLPS</t>
        </is>
      </c>
      <c r="B171" s="453">
        <f>HYPERLINK("http://codeforces.com/contest/202/problem/A","CF202-D2-A")</f>
        <v/>
      </c>
      <c r="C171" s="404" t="n"/>
      <c r="D171" s="404" t="n"/>
      <c r="E171" s="404" t="n"/>
      <c r="F171" s="404" t="n"/>
      <c r="G171" s="404" t="n"/>
      <c r="H171" s="404" t="n"/>
      <c r="I171" s="404">
        <f>SUM(E171:H171)</f>
        <v/>
      </c>
      <c r="J171" s="418" t="n"/>
      <c r="K171" s="404" t="n"/>
      <c r="L171" s="418" t="n"/>
      <c r="M171" s="416" t="n"/>
      <c r="N171" s="416" t="n"/>
      <c r="O171" s="416" t="n"/>
      <c r="P171" s="416" t="n"/>
      <c r="Q171" s="416" t="n"/>
      <c r="R171" s="416" t="n"/>
      <c r="S171" s="416" t="n"/>
      <c r="T171" s="416" t="n"/>
    </row>
    <row r="172" ht="15.75" customHeight="1" s="279">
      <c r="A172" s="407" t="inlineStr">
        <is>
          <t>Candy Bags</t>
        </is>
      </c>
      <c r="B172" s="453">
        <f>HYPERLINK("http://codeforces.com/contest/334/problem/A","CF334-D2-A")</f>
        <v/>
      </c>
      <c r="C172" s="404" t="n"/>
      <c r="D172" s="404" t="n"/>
      <c r="E172" s="404" t="n"/>
      <c r="F172" s="404" t="n"/>
      <c r="G172" s="404" t="n"/>
      <c r="H172" s="404" t="n"/>
      <c r="I172" s="404">
        <f>SUM(E172:H172)</f>
        <v/>
      </c>
      <c r="J172" s="418" t="n"/>
      <c r="K172" s="404" t="n"/>
      <c r="L172" s="418" t="n"/>
      <c r="M172" s="416" t="n"/>
      <c r="N172" s="416" t="n"/>
      <c r="O172" s="416" t="n"/>
      <c r="P172" s="416" t="n"/>
      <c r="Q172" s="416" t="n"/>
      <c r="R172" s="416" t="n"/>
      <c r="S172" s="416" t="n"/>
      <c r="T172" s="416" t="n"/>
    </row>
    <row r="173" ht="15.75" customHeight="1" s="279">
      <c r="A173" s="407" t="n"/>
      <c r="B173" s="407" t="n"/>
      <c r="C173" s="404" t="n"/>
      <c r="D173" s="404" t="n"/>
      <c r="E173" s="404" t="n"/>
      <c r="F173" s="404" t="n"/>
      <c r="G173" s="404" t="n"/>
      <c r="H173" s="404" t="n"/>
      <c r="I173" s="404">
        <f>SUM(E173:H173)</f>
        <v/>
      </c>
      <c r="J173" s="418" t="n"/>
      <c r="K173" s="404" t="n"/>
      <c r="L173" s="418" t="n"/>
      <c r="M173" s="416" t="n"/>
      <c r="N173" s="416" t="n"/>
      <c r="O173" s="416" t="n"/>
      <c r="P173" s="416" t="n"/>
      <c r="Q173" s="416" t="n"/>
      <c r="R173" s="416" t="n"/>
      <c r="S173" s="416" t="n"/>
      <c r="T173" s="416" t="n"/>
    </row>
    <row r="174" ht="15.75" customHeight="1" s="279">
      <c r="A174" s="295" t="inlineStr">
        <is>
          <t>Game With Sticks</t>
        </is>
      </c>
      <c r="B174" s="417">
        <f>HYPERLINK("http://codeforces.com/contest/451/problem/A","CF451-D2-A")</f>
        <v/>
      </c>
      <c r="C174" s="404" t="n"/>
      <c r="D174" s="404" t="n"/>
      <c r="E174" s="404" t="n"/>
      <c r="F174" s="404" t="n"/>
      <c r="G174" s="404" t="n"/>
      <c r="H174" s="404" t="n"/>
      <c r="I174" s="404">
        <f>SUM(E174:H174)</f>
        <v/>
      </c>
      <c r="J174" s="418" t="n"/>
      <c r="K174" s="404" t="n"/>
      <c r="L174" s="418" t="n"/>
      <c r="M174" s="416" t="n"/>
      <c r="N174" s="416" t="n"/>
      <c r="O174" s="416" t="n"/>
      <c r="P174" s="416" t="n"/>
      <c r="Q174" s="416" t="n"/>
      <c r="R174" s="416" t="n"/>
      <c r="S174" s="416" t="n"/>
      <c r="T174" s="416" t="n"/>
    </row>
    <row r="175" ht="15.75" customHeight="1" s="279">
      <c r="A175" s="295" t="inlineStr">
        <is>
          <t>Vasya and Socks</t>
        </is>
      </c>
      <c r="B175" s="417">
        <f>HYPERLINK("http://codeforces.com/contest/460/problem/A","CF460-D2-A")</f>
        <v/>
      </c>
      <c r="C175" s="404" t="n"/>
      <c r="D175" s="404" t="n"/>
      <c r="E175" s="404" t="n"/>
      <c r="F175" s="404" t="n"/>
      <c r="G175" s="404" t="n"/>
      <c r="H175" s="404" t="n"/>
      <c r="I175" s="404">
        <f>SUM(E175:H175)</f>
        <v/>
      </c>
      <c r="J175" s="418" t="n"/>
      <c r="K175" s="404" t="n"/>
      <c r="L175" s="418" t="n"/>
      <c r="M175" s="416" t="n"/>
      <c r="N175" s="416" t="n"/>
      <c r="O175" s="416" t="n"/>
      <c r="P175" s="416" t="n"/>
      <c r="Q175" s="416" t="n"/>
      <c r="R175" s="416" t="n"/>
      <c r="S175" s="416" t="n"/>
      <c r="T175" s="416" t="n"/>
    </row>
    <row r="176" ht="15.75" customHeight="1" s="279">
      <c r="A176" s="407" t="inlineStr">
        <is>
          <t>Dima and Friends</t>
        </is>
      </c>
      <c r="B176" s="453">
        <f>HYPERLINK("http://codeforces.com/contest/272/problem/A","CF272-D2-A")</f>
        <v/>
      </c>
      <c r="C176" s="404" t="n"/>
      <c r="D176" s="404" t="n"/>
      <c r="E176" s="404" t="n"/>
      <c r="F176" s="404" t="n"/>
      <c r="G176" s="404" t="n"/>
      <c r="H176" s="404" t="n"/>
      <c r="I176" s="404">
        <f>SUM(E176:H176)</f>
        <v/>
      </c>
      <c r="J176" s="418" t="n"/>
      <c r="K176" s="404" t="n"/>
      <c r="L176" s="418" t="n"/>
      <c r="M176" s="416" t="n"/>
      <c r="N176" s="416" t="n"/>
      <c r="O176" s="416" t="n"/>
      <c r="P176" s="416" t="n"/>
      <c r="Q176" s="416" t="n"/>
      <c r="R176" s="416" t="n"/>
      <c r="S176" s="416" t="n"/>
      <c r="T176" s="416" t="n"/>
    </row>
    <row r="177" ht="15.75" customHeight="1" s="279">
      <c r="A177" s="407" t="inlineStr">
        <is>
          <t>Nicholas and Permutation</t>
        </is>
      </c>
      <c r="B177" s="453">
        <f>HYPERLINK("http://codeforces.com/contest/676/problem/A","CF676-D2-A")</f>
        <v/>
      </c>
      <c r="C177" s="404" t="n"/>
      <c r="D177" s="404" t="n"/>
      <c r="E177" s="404" t="n"/>
      <c r="F177" s="404" t="n"/>
      <c r="G177" s="404" t="n"/>
      <c r="H177" s="404" t="n"/>
      <c r="I177" s="404">
        <f>SUM(E177:H177)</f>
        <v/>
      </c>
      <c r="J177" s="418" t="n"/>
      <c r="K177" s="404" t="n"/>
      <c r="L177" s="418" t="n"/>
      <c r="M177" s="416" t="n"/>
      <c r="N177" s="416" t="n"/>
      <c r="O177" s="416" t="n"/>
      <c r="P177" s="416" t="n"/>
      <c r="Q177" s="416" t="n"/>
      <c r="R177" s="416" t="n"/>
      <c r="S177" s="416" t="n"/>
      <c r="T177" s="416" t="n"/>
    </row>
    <row r="178" ht="15.75" customHeight="1" s="279">
      <c r="A178" s="295" t="inlineStr">
        <is>
          <t>Toy Cars</t>
        </is>
      </c>
      <c r="B178" s="417">
        <f>HYPERLINK("http://codeforces.com/contest/545/problem/A","CF545-D2-A")</f>
        <v/>
      </c>
      <c r="C178" s="404" t="n"/>
      <c r="D178" s="404" t="n"/>
      <c r="E178" s="404" t="n"/>
      <c r="F178" s="404" t="n"/>
      <c r="G178" s="404" t="n"/>
      <c r="H178" s="404" t="n"/>
      <c r="I178" s="404">
        <f>SUM(E178:H178)</f>
        <v/>
      </c>
      <c r="J178" s="418" t="n"/>
      <c r="K178" s="404" t="n"/>
      <c r="L178" s="418" t="n"/>
      <c r="M178" s="416" t="n"/>
      <c r="N178" s="416" t="n"/>
      <c r="O178" s="416" t="n"/>
      <c r="P178" s="416" t="n"/>
      <c r="Q178" s="416" t="n"/>
      <c r="R178" s="416" t="n"/>
      <c r="S178" s="416" t="n"/>
      <c r="T178" s="416" t="n"/>
    </row>
    <row r="179" ht="15.75" customHeight="1" s="279">
      <c r="A179" s="407" t="inlineStr">
        <is>
          <t>DZY Loves Hash</t>
        </is>
      </c>
      <c r="B179" s="453">
        <f>HYPERLINK("http://codeforces.com/contest/447/problem/A","CF447-D2-A")</f>
        <v/>
      </c>
      <c r="C179" s="404" t="n"/>
      <c r="D179" s="404" t="n"/>
      <c r="E179" s="404" t="n"/>
      <c r="F179" s="404" t="n"/>
      <c r="G179" s="404" t="n"/>
      <c r="H179" s="404" t="n"/>
      <c r="I179" s="404">
        <f>SUM(E179:H179)</f>
        <v/>
      </c>
      <c r="J179" s="418" t="n"/>
      <c r="K179" s="404" t="n"/>
      <c r="L179" s="418" t="n"/>
      <c r="M179" s="416" t="n"/>
      <c r="N179" s="416" t="n"/>
      <c r="O179" s="416" t="n"/>
      <c r="P179" s="416" t="n"/>
      <c r="Q179" s="416" t="n"/>
      <c r="R179" s="416" t="n"/>
      <c r="S179" s="416" t="n"/>
      <c r="T179" s="416" t="n"/>
    </row>
    <row r="180" ht="15.75" customHeight="1" s="279">
      <c r="A180" s="295" t="inlineStr">
        <is>
          <t>HQ9+</t>
        </is>
      </c>
      <c r="B180" s="417">
        <f>HYPERLINK("http://codeforces.com/contest/133/problem/A","CF133-D2-A")</f>
        <v/>
      </c>
      <c r="C180" s="404" t="n"/>
      <c r="D180" s="404" t="n"/>
      <c r="E180" s="404" t="n"/>
      <c r="F180" s="404" t="n"/>
      <c r="G180" s="404" t="n"/>
      <c r="H180" s="404" t="n"/>
      <c r="I180" s="404">
        <f>SUM(E180:H180)</f>
        <v/>
      </c>
      <c r="J180" s="418" t="n"/>
      <c r="K180" s="404" t="n"/>
      <c r="L180" s="418" t="n"/>
      <c r="M180" s="416" t="n"/>
      <c r="N180" s="416" t="n"/>
      <c r="O180" s="416" t="n"/>
      <c r="P180" s="416" t="n"/>
      <c r="Q180" s="416" t="n"/>
      <c r="R180" s="416" t="n"/>
      <c r="S180" s="416" t="n"/>
      <c r="T180" s="416" t="n"/>
    </row>
    <row r="181" ht="15.75" customHeight="1" s="279">
      <c r="A181" s="295" t="inlineStr">
        <is>
          <t>Holidays</t>
        </is>
      </c>
      <c r="B181" s="417">
        <f>HYPERLINK("http://codeforces.com/contest/670/problem/A","CF670-D2-A")</f>
        <v/>
      </c>
      <c r="C181" s="404" t="n"/>
      <c r="D181" s="404" t="n"/>
      <c r="E181" s="404" t="n"/>
      <c r="F181" s="404" t="n"/>
      <c r="G181" s="404" t="n"/>
      <c r="H181" s="404" t="n"/>
      <c r="I181" s="404">
        <f>SUM(E181:H181)</f>
        <v/>
      </c>
      <c r="J181" s="418" t="n"/>
      <c r="K181" s="404" t="n"/>
      <c r="L181" s="418" t="n"/>
      <c r="M181" s="416" t="n"/>
      <c r="N181" s="416" t="n"/>
      <c r="O181" s="416" t="n"/>
      <c r="P181" s="416" t="n"/>
      <c r="Q181" s="416" t="n"/>
      <c r="R181" s="416" t="n"/>
      <c r="S181" s="416" t="n"/>
      <c r="T181" s="416" t="n"/>
    </row>
    <row r="182" ht="15.75" customHeight="1" s="279">
      <c r="A182" s="407" t="inlineStr">
        <is>
          <t>Dividing Orange</t>
        </is>
      </c>
      <c r="B182" s="453">
        <f>HYPERLINK("http://codeforces.com/contest/244/problem/A","CF244-D2-A")</f>
        <v/>
      </c>
      <c r="C182" s="404" t="n"/>
      <c r="D182" s="404" t="n"/>
      <c r="E182" s="404" t="n"/>
      <c r="F182" s="404" t="n"/>
      <c r="G182" s="404" t="n"/>
      <c r="H182" s="404" t="n"/>
      <c r="I182" s="404">
        <f>SUM(E182:H182)</f>
        <v/>
      </c>
      <c r="J182" s="418" t="n"/>
      <c r="K182" s="404" t="n"/>
      <c r="L182" s="418" t="n"/>
      <c r="M182" s="416" t="n"/>
      <c r="N182" s="416" t="n"/>
      <c r="O182" s="416" t="n"/>
      <c r="P182" s="416" t="n"/>
      <c r="Q182" s="416" t="n"/>
      <c r="R182" s="416" t="n"/>
      <c r="S182" s="416" t="n"/>
      <c r="T182" s="416" t="n"/>
    </row>
    <row r="183" ht="15.75" customHeight="1" s="279">
      <c r="A183" s="295" t="inlineStr">
        <is>
          <t>Haiku</t>
        </is>
      </c>
      <c r="B183" s="417">
        <f>HYPERLINK("http://codeforces.com/contest/78/problem/A","CF78-D2-A")</f>
        <v/>
      </c>
      <c r="C183" s="404" t="n"/>
      <c r="D183" s="404" t="n"/>
      <c r="E183" s="404" t="n"/>
      <c r="F183" s="404" t="n"/>
      <c r="G183" s="404" t="n"/>
      <c r="H183" s="404" t="n"/>
      <c r="I183" s="404">
        <f>SUM(E183:H183)</f>
        <v/>
      </c>
      <c r="J183" s="418" t="n"/>
      <c r="K183" s="404" t="n"/>
      <c r="L183" s="418" t="n"/>
      <c r="M183" s="416" t="n"/>
      <c r="N183" s="416" t="n"/>
      <c r="O183" s="416" t="n"/>
      <c r="P183" s="416" t="n"/>
      <c r="Q183" s="416" t="n"/>
      <c r="R183" s="416" t="n"/>
      <c r="S183" s="416" t="n"/>
      <c r="T183" s="416" t="n"/>
    </row>
    <row r="184" ht="15.75" customHeight="1" s="279">
      <c r="A184" s="295" t="n"/>
      <c r="B184" s="417" t="n"/>
      <c r="C184" s="404" t="n"/>
      <c r="D184" s="404" t="n"/>
      <c r="E184" s="404" t="n"/>
      <c r="F184" s="404" t="n"/>
      <c r="G184" s="404" t="n"/>
      <c r="H184" s="404" t="n"/>
      <c r="I184" s="404">
        <f>SUM(E184:H184)</f>
        <v/>
      </c>
      <c r="J184" s="418" t="n"/>
      <c r="K184" s="404" t="n"/>
      <c r="L184" s="418" t="n"/>
      <c r="M184" s="416" t="n"/>
      <c r="N184" s="416" t="n"/>
      <c r="O184" s="416" t="n"/>
      <c r="P184" s="416" t="n"/>
      <c r="Q184" s="416" t="n"/>
      <c r="R184" s="416" t="n"/>
      <c r="S184" s="416" t="n"/>
      <c r="T184" s="416" t="n"/>
    </row>
    <row r="185" ht="15.75" customHeight="1" s="279">
      <c r="A185" s="407" t="inlineStr">
        <is>
          <t>System of Equations</t>
        </is>
      </c>
      <c r="B185" s="453">
        <f>HYPERLINK("http://codeforces.com/contest/214/problem/A","CF214-D2-A")</f>
        <v/>
      </c>
      <c r="C185" s="404" t="n"/>
      <c r="D185" s="404" t="n"/>
      <c r="E185" s="404" t="n"/>
      <c r="F185" s="404" t="n"/>
      <c r="G185" s="404" t="n"/>
      <c r="H185" s="404" t="n"/>
      <c r="I185" s="404">
        <f>SUM(E185:H185)</f>
        <v/>
      </c>
      <c r="J185" s="418" t="n"/>
      <c r="K185" s="404" t="n"/>
      <c r="L185" s="418" t="n"/>
      <c r="M185" s="416" t="n"/>
      <c r="N185" s="416" t="n"/>
      <c r="O185" s="416" t="n"/>
      <c r="P185" s="416" t="n"/>
      <c r="Q185" s="416" t="n"/>
      <c r="R185" s="416" t="n"/>
      <c r="S185" s="416" t="n"/>
      <c r="T185" s="416" t="n"/>
    </row>
    <row r="186" ht="15.75" customHeight="1" s="279">
      <c r="A186" s="295" t="inlineStr">
        <is>
          <t>IQ test</t>
        </is>
      </c>
      <c r="B186" s="417">
        <f>HYPERLINK("http://codeforces.com/contest/25/problem/A","CF25-D2-A")</f>
        <v/>
      </c>
      <c r="C186" s="404" t="n"/>
      <c r="D186" s="404" t="n"/>
      <c r="E186" s="404" t="n"/>
      <c r="F186" s="404" t="n"/>
      <c r="G186" s="404" t="n"/>
      <c r="H186" s="404" t="n"/>
      <c r="I186" s="404">
        <f>SUM(E186:H186)</f>
        <v/>
      </c>
      <c r="J186" s="418" t="n"/>
      <c r="K186" s="404" t="n"/>
      <c r="L186" s="418" t="n"/>
      <c r="M186" s="416" t="n"/>
      <c r="N186" s="416" t="n"/>
      <c r="O186" s="416" t="n"/>
      <c r="P186" s="416" t="n"/>
      <c r="Q186" s="416" t="n"/>
      <c r="R186" s="416" t="n"/>
      <c r="S186" s="416" t="n"/>
      <c r="T186" s="416" t="n"/>
    </row>
    <row r="187" ht="15.75" customHeight="1" s="279">
      <c r="A187" s="407" t="inlineStr">
        <is>
          <t>Contest</t>
        </is>
      </c>
      <c r="B187" s="453">
        <f>HYPERLINK("http://codeforces.com/contest/501/problem/A","CF501-D2-A")</f>
        <v/>
      </c>
      <c r="C187" s="404" t="n"/>
      <c r="D187" s="404" t="n"/>
      <c r="E187" s="404" t="n"/>
      <c r="F187" s="404" t="n"/>
      <c r="G187" s="404" t="n"/>
      <c r="H187" s="404" t="n"/>
      <c r="I187" s="404">
        <f>SUM(E187:H187)</f>
        <v/>
      </c>
      <c r="J187" s="418" t="n"/>
      <c r="K187" s="404" t="n"/>
      <c r="L187" s="418" t="n"/>
      <c r="M187" s="416" t="n"/>
      <c r="N187" s="416" t="n"/>
      <c r="O187" s="416" t="n"/>
      <c r="P187" s="416" t="n"/>
      <c r="Q187" s="416" t="n"/>
      <c r="R187" s="416" t="n"/>
      <c r="S187" s="416" t="n"/>
      <c r="T187" s="416" t="n"/>
    </row>
    <row r="188" ht="15.75" customHeight="1" s="279">
      <c r="A188" s="295" t="inlineStr">
        <is>
          <t>Restoring Password</t>
        </is>
      </c>
      <c r="B188" s="417">
        <f>HYPERLINK("http://codeforces.com/contest/94/problem/A","CF94-D2-A")</f>
        <v/>
      </c>
      <c r="C188" s="404" t="n"/>
      <c r="D188" s="404" t="n"/>
      <c r="E188" s="404" t="n"/>
      <c r="F188" s="404" t="n"/>
      <c r="G188" s="404" t="n"/>
      <c r="H188" s="404" t="n"/>
      <c r="I188" s="404">
        <f>SUM(E188:H188)</f>
        <v/>
      </c>
      <c r="J188" s="418" t="n"/>
      <c r="K188" s="404" t="n"/>
      <c r="L188" s="418" t="n"/>
      <c r="M188" s="416" t="n"/>
      <c r="N188" s="416" t="n"/>
      <c r="O188" s="416" t="n"/>
      <c r="P188" s="416" t="n"/>
      <c r="Q188" s="416" t="n"/>
      <c r="R188" s="416" t="n"/>
      <c r="S188" s="416" t="n"/>
      <c r="T188" s="416" t="n"/>
    </row>
    <row r="189" ht="15.75" customHeight="1" s="279">
      <c r="A189" s="407" t="inlineStr">
        <is>
          <t>Valera and Plates</t>
        </is>
      </c>
      <c r="B189" s="453">
        <f>HYPERLINK("http://codeforces.com/contest/369/problem/A","CF369-D2-A")</f>
        <v/>
      </c>
      <c r="C189" s="404" t="n"/>
      <c r="D189" s="404" t="n"/>
      <c r="E189" s="404" t="n"/>
      <c r="F189" s="404" t="n"/>
      <c r="G189" s="404" t="n"/>
      <c r="H189" s="404" t="n"/>
      <c r="I189" s="404">
        <f>SUM(E189:H189)</f>
        <v/>
      </c>
      <c r="J189" s="418" t="n"/>
      <c r="K189" s="404" t="n"/>
      <c r="L189" s="418" t="n"/>
      <c r="M189" s="416" t="n"/>
      <c r="N189" s="416" t="n"/>
      <c r="O189" s="416" t="n"/>
      <c r="P189" s="416" t="n"/>
      <c r="Q189" s="416" t="n"/>
      <c r="R189" s="416" t="n"/>
      <c r="S189" s="416" t="n"/>
      <c r="T189" s="416" t="n"/>
    </row>
    <row r="190" ht="15.75" customHeight="1" s="279">
      <c r="A190" s="295" t="inlineStr">
        <is>
          <t>Minimum Difficulty</t>
        </is>
      </c>
      <c r="B190" s="417">
        <f>HYPERLINK("http://codeforces.com/contest/496/problem/A","CF496-D2-A")</f>
        <v/>
      </c>
      <c r="C190" s="404" t="n"/>
      <c r="D190" s="404" t="n"/>
      <c r="E190" s="404" t="n"/>
      <c r="F190" s="404" t="n"/>
      <c r="G190" s="404" t="n"/>
      <c r="H190" s="404" t="n"/>
      <c r="I190" s="404">
        <f>SUM(E190:H190)</f>
        <v/>
      </c>
      <c r="J190" s="418" t="n"/>
      <c r="K190" s="404" t="n"/>
      <c r="L190" s="418" t="n"/>
      <c r="M190" s="416" t="n"/>
      <c r="N190" s="416" t="n"/>
      <c r="O190" s="416" t="n"/>
      <c r="P190" s="416" t="n"/>
      <c r="Q190" s="416" t="n"/>
      <c r="R190" s="416" t="n"/>
      <c r="S190" s="416" t="n"/>
      <c r="T190" s="416" t="n"/>
    </row>
    <row r="191" ht="15.75" customHeight="1" s="279">
      <c r="A191" s="407" t="inlineStr">
        <is>
          <t>Little Elephant and Function</t>
        </is>
      </c>
      <c r="B191" s="453">
        <f>HYPERLINK("http://codeforces.com/contest/221/problem/A","CF221-D2-A")</f>
        <v/>
      </c>
      <c r="C191" s="404" t="n"/>
      <c r="D191" s="404" t="n"/>
      <c r="E191" s="404" t="n"/>
      <c r="F191" s="404" t="n"/>
      <c r="G191" s="404" t="n"/>
      <c r="H191" s="404" t="n"/>
      <c r="I191" s="404">
        <f>SUM(E191:H191)</f>
        <v/>
      </c>
      <c r="J191" s="418" t="n"/>
      <c r="K191" s="404" t="n"/>
      <c r="L191" s="418" t="n"/>
      <c r="M191" s="416" t="n"/>
      <c r="N191" s="416" t="n"/>
      <c r="O191" s="416" t="n"/>
      <c r="P191" s="416" t="n"/>
      <c r="Q191" s="416" t="n"/>
      <c r="R191" s="416" t="n"/>
      <c r="S191" s="416" t="n"/>
      <c r="T191" s="416" t="n"/>
    </row>
    <row r="192" ht="15.75" customHeight="1" s="279">
      <c r="A192" s="407" t="inlineStr">
        <is>
          <t>Collecting Beats is Fun</t>
        </is>
      </c>
      <c r="B192" s="453">
        <f>HYPERLINK("http://codeforces.com/contest/373/problem/A","CF373-D2-A")</f>
        <v/>
      </c>
      <c r="C192" s="404" t="n"/>
      <c r="D192" s="404" t="n"/>
      <c r="E192" s="404" t="n"/>
      <c r="F192" s="404" t="n"/>
      <c r="G192" s="404" t="n"/>
      <c r="H192" s="404" t="n"/>
      <c r="I192" s="404">
        <f>SUM(E192:H192)</f>
        <v/>
      </c>
      <c r="J192" s="418" t="n"/>
      <c r="K192" s="404" t="n"/>
      <c r="L192" s="418" t="n"/>
      <c r="M192" s="416" t="n"/>
      <c r="N192" s="416" t="n"/>
      <c r="O192" s="416" t="n"/>
      <c r="P192" s="416" t="n"/>
      <c r="Q192" s="416" t="n"/>
      <c r="R192" s="416" t="n"/>
      <c r="S192" s="416" t="n"/>
      <c r="T192" s="416" t="n"/>
    </row>
    <row r="193" ht="15.75" customHeight="1" s="279">
      <c r="A193" s="407" t="inlineStr">
        <is>
          <t>Letter</t>
        </is>
      </c>
      <c r="B193" s="453">
        <f>HYPERLINK("http://codeforces.com/contest/14/problem/A","CF14-D2-A")</f>
        <v/>
      </c>
      <c r="C193" s="404" t="n"/>
      <c r="D193" s="404" t="n"/>
      <c r="E193" s="404" t="n"/>
      <c r="F193" s="404" t="n"/>
      <c r="G193" s="404" t="n"/>
      <c r="H193" s="404" t="n"/>
      <c r="I193" s="404">
        <f>SUM(E193:H193)</f>
        <v/>
      </c>
      <c r="J193" s="418" t="n"/>
      <c r="K193" s="404" t="n"/>
      <c r="L193" s="418" t="n"/>
      <c r="M193" s="416" t="n"/>
      <c r="N193" s="416" t="n"/>
      <c r="O193" s="416" t="n"/>
      <c r="P193" s="416" t="n"/>
      <c r="Q193" s="416" t="n"/>
      <c r="R193" s="416" t="n"/>
      <c r="S193" s="416" t="n"/>
      <c r="T193" s="416" t="n"/>
    </row>
    <row r="194" ht="15.75" customHeight="1" s="279">
      <c r="A194" s="407" t="inlineStr">
        <is>
          <t>Kefa and First Steps</t>
        </is>
      </c>
      <c r="B194" s="453">
        <f>HYPERLINK("http://codeforces.com/contest/580/problem/A","CF580-D2-A")</f>
        <v/>
      </c>
      <c r="C194" s="404" t="n"/>
      <c r="D194" s="404" t="n"/>
      <c r="E194" s="404" t="n"/>
      <c r="F194" s="404" t="n"/>
      <c r="G194" s="404" t="n"/>
      <c r="H194" s="404" t="n"/>
      <c r="I194" s="404">
        <f>SUM(E194:H194)</f>
        <v/>
      </c>
      <c r="J194" s="418" t="n"/>
      <c r="K194" s="404" t="n"/>
      <c r="L194" s="418" t="n"/>
      <c r="M194" s="416" t="n"/>
      <c r="N194" s="416" t="n"/>
      <c r="O194" s="416" t="n"/>
      <c r="P194" s="416" t="n"/>
      <c r="Q194" s="416" t="n"/>
      <c r="R194" s="416" t="n"/>
      <c r="S194" s="416" t="n"/>
      <c r="T194" s="416" t="n"/>
    </row>
    <row r="195" ht="15.75" customHeight="1" s="279">
      <c r="A195" s="407" t="n"/>
      <c r="B195" s="407" t="n"/>
      <c r="C195" s="404" t="n"/>
      <c r="D195" s="404" t="n"/>
      <c r="E195" s="404" t="n"/>
      <c r="F195" s="404" t="n"/>
      <c r="G195" s="404" t="n"/>
      <c r="H195" s="404" t="n"/>
      <c r="I195" s="404">
        <f>SUM(E195:H195)</f>
        <v/>
      </c>
      <c r="J195" s="418" t="n"/>
      <c r="K195" s="404" t="n"/>
      <c r="L195" s="418" t="n"/>
      <c r="M195" s="416" t="n"/>
      <c r="N195" s="416" t="n"/>
      <c r="O195" s="416" t="n"/>
      <c r="P195" s="416" t="n"/>
      <c r="Q195" s="416" t="n"/>
      <c r="R195" s="416" t="n"/>
      <c r="S195" s="416" t="n"/>
      <c r="T195" s="416" t="n"/>
    </row>
    <row r="196" ht="15.75" customHeight="1" s="279">
      <c r="A196" s="407" t="inlineStr">
        <is>
          <t>Ilya and Bank Account</t>
        </is>
      </c>
      <c r="B196" s="453">
        <f>HYPERLINK("http://codeforces.com/contest/313/problem/A","CF313-D2-A")</f>
        <v/>
      </c>
      <c r="C196" s="404" t="n"/>
      <c r="D196" s="404" t="n"/>
      <c r="E196" s="404" t="n"/>
      <c r="F196" s="404" t="n"/>
      <c r="G196" s="404" t="n"/>
      <c r="H196" s="404" t="n"/>
      <c r="I196" s="404">
        <f>SUM(E196:H196)</f>
        <v/>
      </c>
      <c r="J196" s="418" t="n"/>
      <c r="K196" s="404" t="n"/>
      <c r="L196" s="418" t="n"/>
      <c r="M196" s="416" t="n"/>
      <c r="N196" s="416" t="n"/>
      <c r="O196" s="416" t="n"/>
      <c r="P196" s="416" t="n"/>
      <c r="Q196" s="416" t="n"/>
      <c r="R196" s="416" t="n"/>
      <c r="S196" s="416" t="n"/>
      <c r="T196" s="416" t="n"/>
    </row>
    <row r="197" ht="15.75" customHeight="1" s="279">
      <c r="A197" s="407" t="inlineStr">
        <is>
          <t>Uncowed Forces</t>
        </is>
      </c>
      <c r="B197" s="453">
        <f>HYPERLINK("http://codeforces.com/contest/604/problem/A","CF604-D2-A")</f>
        <v/>
      </c>
      <c r="C197" s="404" t="n"/>
      <c r="D197" s="404" t="n"/>
      <c r="E197" s="404" t="n"/>
      <c r="F197" s="404" t="n"/>
      <c r="G197" s="404" t="n"/>
      <c r="H197" s="404" t="n"/>
      <c r="I197" s="404">
        <f>SUM(E197:H197)</f>
        <v/>
      </c>
      <c r="J197" s="418" t="n"/>
      <c r="K197" s="404" t="n"/>
      <c r="L197" s="418" t="n"/>
      <c r="M197" s="416" t="n"/>
      <c r="N197" s="416" t="n"/>
      <c r="O197" s="416" t="n"/>
      <c r="P197" s="416" t="n"/>
      <c r="Q197" s="416" t="n"/>
      <c r="R197" s="416" t="n"/>
      <c r="S197" s="416" t="n"/>
      <c r="T197" s="416" t="n"/>
    </row>
    <row r="198" ht="15.75" customHeight="1" s="279">
      <c r="A198" s="407" t="inlineStr">
        <is>
          <t>Reconnaissance 2</t>
        </is>
      </c>
      <c r="B198" s="453">
        <f>HYPERLINK("http://codeforces.com/contest/34/problem/A","CF34-D2-A")</f>
        <v/>
      </c>
      <c r="C198" s="404" t="n"/>
      <c r="D198" s="404" t="n"/>
      <c r="E198" s="404" t="n"/>
      <c r="F198" s="404" t="n"/>
      <c r="G198" s="404" t="n"/>
      <c r="H198" s="404" t="n"/>
      <c r="I198" s="404">
        <f>SUM(E198:H198)</f>
        <v/>
      </c>
      <c r="J198" s="418" t="n"/>
      <c r="K198" s="404" t="n"/>
      <c r="L198" s="418" t="n"/>
      <c r="M198" s="416" t="n"/>
      <c r="N198" s="416" t="n"/>
      <c r="O198" s="416" t="n"/>
      <c r="P198" s="416" t="n"/>
      <c r="Q198" s="416" t="n"/>
      <c r="R198" s="416" t="n"/>
      <c r="S198" s="416" t="n"/>
      <c r="T198" s="416" t="n"/>
    </row>
    <row r="199" ht="15.75" customHeight="1" s="279">
      <c r="A199" s="407" t="inlineStr">
        <is>
          <t>Lucky Ticket</t>
        </is>
      </c>
      <c r="B199" s="453">
        <f>HYPERLINK("http://codeforces.com/contest/146/problem/A","CF146-D2-A")</f>
        <v/>
      </c>
      <c r="C199" s="404" t="n"/>
      <c r="D199" s="404" t="n"/>
      <c r="E199" s="404" t="n"/>
      <c r="F199" s="404" t="n"/>
      <c r="G199" s="404" t="n"/>
      <c r="H199" s="404" t="n"/>
      <c r="I199" s="404">
        <f>SUM(E199:H199)</f>
        <v/>
      </c>
      <c r="J199" s="418" t="n"/>
      <c r="K199" s="404" t="n"/>
      <c r="L199" s="418" t="n"/>
      <c r="M199" s="416" t="n"/>
      <c r="N199" s="416" t="n"/>
      <c r="O199" s="416" t="n"/>
      <c r="P199" s="416" t="n"/>
      <c r="Q199" s="416" t="n"/>
      <c r="R199" s="416" t="n"/>
      <c r="S199" s="416" t="n"/>
      <c r="T199" s="416" t="n"/>
    </row>
    <row r="200" ht="15.75" customHeight="1" s="279">
      <c r="A200" s="407" t="inlineStr">
        <is>
          <t>Chat room</t>
        </is>
      </c>
      <c r="B200" s="453">
        <f>HYPERLINK("http://codeforces.com/contest/58/problem/A","CF58-D2-A")</f>
        <v/>
      </c>
      <c r="C200" s="404" t="n"/>
      <c r="D200" s="404" t="n"/>
      <c r="E200" s="404" t="n"/>
      <c r="F200" s="404" t="n"/>
      <c r="G200" s="404" t="n"/>
      <c r="H200" s="404" t="n"/>
      <c r="I200" s="404">
        <f>SUM(E200:H200)</f>
        <v/>
      </c>
      <c r="J200" s="418" t="n"/>
      <c r="K200" s="404" t="n"/>
      <c r="L200" s="418" t="n"/>
      <c r="M200" s="416" t="n"/>
      <c r="N200" s="416" t="n"/>
      <c r="O200" s="416" t="n"/>
      <c r="P200" s="416" t="n"/>
      <c r="Q200" s="416" t="n"/>
      <c r="R200" s="416" t="n"/>
      <c r="S200" s="416" t="n"/>
      <c r="T200" s="416" t="n"/>
    </row>
    <row r="201" ht="15.75" customHeight="1" s="279">
      <c r="A201" s="407" t="inlineStr">
        <is>
          <t>George and Sleep</t>
        </is>
      </c>
      <c r="B201" s="453">
        <f>HYPERLINK("http://codeforces.com/contest/387/problem/A","CF387-D2-A")</f>
        <v/>
      </c>
      <c r="C201" s="404" t="n"/>
      <c r="D201" s="404" t="n"/>
      <c r="E201" s="404" t="n"/>
      <c r="F201" s="404" t="n"/>
      <c r="G201" s="404" t="n"/>
      <c r="H201" s="404" t="n"/>
      <c r="I201" s="404">
        <f>SUM(E201:H201)</f>
        <v/>
      </c>
      <c r="J201" s="418" t="n"/>
      <c r="K201" s="404" t="n"/>
      <c r="L201" s="418" t="n"/>
      <c r="M201" s="416" t="n"/>
      <c r="N201" s="416" t="n"/>
      <c r="O201" s="416" t="n"/>
      <c r="P201" s="416" t="n"/>
      <c r="Q201" s="416" t="n"/>
      <c r="R201" s="416" t="n"/>
      <c r="S201" s="416" t="n"/>
      <c r="T201" s="416" t="n"/>
    </row>
    <row r="202" ht="15.75" customHeight="1" s="279">
      <c r="A202" s="407" t="inlineStr">
        <is>
          <t>Ostap and Grasshopper</t>
        </is>
      </c>
      <c r="B202" s="453">
        <f>HYPERLINK("http://codeforces.com/contest/735/problem/A","CF735-D2-A")</f>
        <v/>
      </c>
      <c r="C202" s="404" t="n"/>
      <c r="D202" s="404" t="n"/>
      <c r="E202" s="404" t="n"/>
      <c r="F202" s="404" t="n"/>
      <c r="G202" s="404" t="n"/>
      <c r="H202" s="404" t="n"/>
      <c r="I202" s="404">
        <f>SUM(E202:H202)</f>
        <v/>
      </c>
      <c r="J202" s="418" t="n"/>
      <c r="K202" s="404" t="n"/>
      <c r="L202" s="418" t="n"/>
      <c r="M202" s="416" t="n"/>
      <c r="N202" s="416" t="n"/>
      <c r="O202" s="416" t="n"/>
      <c r="P202" s="416" t="n"/>
      <c r="Q202" s="416" t="n"/>
      <c r="R202" s="416" t="n"/>
      <c r="S202" s="416" t="n"/>
      <c r="T202" s="416" t="n"/>
    </row>
    <row r="203" ht="15.75" customHeight="1" s="279">
      <c r="A203" s="295" t="inlineStr">
        <is>
          <t>The number of positions</t>
        </is>
      </c>
      <c r="B203" s="417">
        <f>HYPERLINK("http://codeforces.com/contest/124/problem/A","CF124-D2-A")</f>
        <v/>
      </c>
      <c r="C203" s="404" t="n"/>
      <c r="D203" s="404" t="n"/>
      <c r="E203" s="404" t="n"/>
      <c r="F203" s="404" t="n"/>
      <c r="G203" s="404" t="n"/>
      <c r="H203" s="404" t="n"/>
      <c r="I203" s="404">
        <f>SUM(E203:H203)</f>
        <v/>
      </c>
      <c r="J203" s="418" t="n"/>
      <c r="K203" s="404" t="n"/>
      <c r="L203" s="418" t="n"/>
      <c r="M203" s="416" t="n"/>
      <c r="N203" s="416" t="n"/>
      <c r="O203" s="416" t="n"/>
      <c r="P203" s="416" t="n"/>
      <c r="Q203" s="416" t="n"/>
      <c r="R203" s="416" t="n"/>
      <c r="S203" s="416" t="n"/>
      <c r="T203" s="416" t="n"/>
    </row>
    <row r="204" ht="15.75" customHeight="1" s="279">
      <c r="A204" s="407" t="inlineStr">
        <is>
          <t>Table</t>
        </is>
      </c>
      <c r="B204" s="453">
        <f>HYPERLINK("http://codeforces.com/contest/359/problem/A","CF359-D2-A")</f>
        <v/>
      </c>
      <c r="C204" s="404" t="n"/>
      <c r="D204" s="404" t="n"/>
      <c r="E204" s="404" t="n"/>
      <c r="F204" s="404" t="n"/>
      <c r="G204" s="404" t="n"/>
      <c r="H204" s="404" t="n"/>
      <c r="I204" s="404">
        <f>SUM(E204:H204)</f>
        <v/>
      </c>
      <c r="J204" s="418" t="n"/>
      <c r="K204" s="404" t="n"/>
      <c r="L204" s="418" t="n"/>
      <c r="M204" s="416" t="n"/>
      <c r="N204" s="416" t="n"/>
      <c r="O204" s="416" t="n"/>
      <c r="P204" s="416" t="n"/>
      <c r="Q204" s="416" t="n"/>
      <c r="R204" s="416" t="n"/>
      <c r="S204" s="416" t="n"/>
      <c r="T204" s="416" t="n"/>
    </row>
    <row r="205" ht="15.75" customHeight="1" s="279">
      <c r="A205" s="407" t="inlineStr">
        <is>
          <t>Tavas and Nafas</t>
        </is>
      </c>
      <c r="B205" s="453">
        <f>HYPERLINK("http://codeforces.com/contest/535/problem/A","CF535-D2-A")</f>
        <v/>
      </c>
      <c r="C205" s="404" t="n"/>
      <c r="D205" s="404" t="n"/>
      <c r="E205" s="404" t="n"/>
      <c r="F205" s="404" t="n"/>
      <c r="G205" s="404" t="n"/>
      <c r="H205" s="404" t="n"/>
      <c r="I205" s="404">
        <f>SUM(E205:H205)</f>
        <v/>
      </c>
      <c r="J205" s="418" t="n"/>
      <c r="K205" s="404" t="n"/>
      <c r="L205" s="418" t="n"/>
      <c r="M205" s="416" t="n"/>
      <c r="N205" s="416" t="n"/>
      <c r="O205" s="416" t="n"/>
      <c r="P205" s="416" t="n"/>
      <c r="Q205" s="416" t="n"/>
      <c r="R205" s="416" t="n"/>
      <c r="S205" s="416" t="n"/>
      <c r="T205" s="416" t="n"/>
    </row>
    <row r="206" ht="15.75" customHeight="1" s="279">
      <c r="A206" s="407" t="n"/>
      <c r="B206" s="407" t="n"/>
      <c r="C206" s="404" t="n"/>
      <c r="D206" s="404" t="n"/>
      <c r="E206" s="404" t="n"/>
      <c r="F206" s="404" t="n"/>
      <c r="G206" s="404" t="n"/>
      <c r="H206" s="404" t="n"/>
      <c r="I206" s="404">
        <f>SUM(E206:H206)</f>
        <v/>
      </c>
      <c r="J206" s="418" t="n"/>
      <c r="K206" s="404" t="n"/>
      <c r="L206" s="418" t="n"/>
      <c r="M206" s="416" t="n"/>
      <c r="N206" s="416" t="n"/>
      <c r="O206" s="416" t="n"/>
      <c r="P206" s="416" t="n"/>
      <c r="Q206" s="416" t="n"/>
      <c r="R206" s="416" t="n"/>
      <c r="S206" s="416" t="n"/>
      <c r="T206" s="416" t="n"/>
    </row>
    <row r="207" ht="15.75" customHeight="1" s="279">
      <c r="A207" s="407" t="inlineStr">
        <is>
          <t>Watermelon</t>
        </is>
      </c>
      <c r="B207" s="453">
        <f>HYPERLINK("http://codeforces.com/contest/4/problem/A","CF4-D2-A")</f>
        <v/>
      </c>
      <c r="C207" s="404" t="n"/>
      <c r="D207" s="404" t="n"/>
      <c r="E207" s="404" t="n"/>
      <c r="F207" s="404" t="n"/>
      <c r="G207" s="404" t="n"/>
      <c r="H207" s="404" t="n"/>
      <c r="I207" s="404">
        <f>SUM(E207:H207)</f>
        <v/>
      </c>
      <c r="J207" s="418" t="n"/>
      <c r="K207" s="404" t="n"/>
      <c r="L207" s="418" t="n"/>
      <c r="M207" s="416" t="n"/>
      <c r="N207" s="416" t="n"/>
      <c r="O207" s="416" t="n"/>
      <c r="P207" s="416" t="n"/>
      <c r="Q207" s="416" t="n"/>
      <c r="R207" s="416" t="n"/>
      <c r="S207" s="416" t="n"/>
      <c r="T207" s="416" t="n"/>
    </row>
    <row r="208" ht="15.75" customHeight="1" s="279">
      <c r="A208" s="407" t="inlineStr">
        <is>
          <t>Let's Watch Football</t>
        </is>
      </c>
      <c r="B208" s="453">
        <f>HYPERLINK("http://codeforces.com/contest/195/problem/A","CF195-D2-A")</f>
        <v/>
      </c>
      <c r="C208" s="404" t="n"/>
      <c r="D208" s="404" t="n"/>
      <c r="E208" s="404" t="n"/>
      <c r="F208" s="404" t="n"/>
      <c r="G208" s="404" t="n"/>
      <c r="H208" s="404" t="n"/>
      <c r="I208" s="404">
        <f>SUM(E208:H208)</f>
        <v/>
      </c>
      <c r="J208" s="418" t="n"/>
      <c r="K208" s="404" t="n"/>
      <c r="L208" s="418" t="n"/>
      <c r="M208" s="416" t="n"/>
      <c r="N208" s="416" t="n"/>
      <c r="O208" s="416" t="n"/>
      <c r="P208" s="416" t="n"/>
      <c r="Q208" s="416" t="n"/>
      <c r="R208" s="416" t="n"/>
      <c r="S208" s="416" t="n"/>
      <c r="T208" s="416" t="n"/>
    </row>
    <row r="209" ht="15.75" customHeight="1" s="279">
      <c r="A209" s="407" t="inlineStr">
        <is>
          <t>Initial Bet</t>
        </is>
      </c>
      <c r="B209" s="453">
        <f>HYPERLINK("http://codeforces.com/contest/478/problem/A","CF478-D2-A")</f>
        <v/>
      </c>
      <c r="C209" s="404" t="n"/>
      <c r="D209" s="404" t="n"/>
      <c r="E209" s="404" t="n"/>
      <c r="F209" s="404" t="n"/>
      <c r="G209" s="404" t="n"/>
      <c r="H209" s="404" t="n"/>
      <c r="I209" s="404">
        <f>SUM(E209:H209)</f>
        <v/>
      </c>
      <c r="J209" s="418" t="n"/>
      <c r="K209" s="404" t="n"/>
      <c r="L209" s="418" t="n"/>
      <c r="M209" s="416" t="n"/>
      <c r="N209" s="416" t="n"/>
      <c r="O209" s="416" t="n"/>
      <c r="P209" s="416" t="n"/>
      <c r="Q209" s="416" t="n"/>
      <c r="R209" s="416" t="n"/>
      <c r="S209" s="416" t="n"/>
      <c r="T209" s="416" t="n"/>
    </row>
    <row r="210" ht="15.75" customHeight="1" s="279">
      <c r="A210" s="407" t="inlineStr">
        <is>
          <t>Saitama Destroys Hotel</t>
        </is>
      </c>
      <c r="B210" s="453">
        <f>HYPERLINK("http://codeforces.com/contest/608/problem/A","CF608-D2-A")</f>
        <v/>
      </c>
      <c r="C210" s="404" t="n"/>
      <c r="D210" s="404" t="n"/>
      <c r="E210" s="404" t="n"/>
      <c r="F210" s="404" t="n"/>
      <c r="G210" s="404" t="n"/>
      <c r="H210" s="404" t="n"/>
      <c r="I210" s="404">
        <f>SUM(E210:H210)</f>
        <v/>
      </c>
      <c r="J210" s="418" t="n"/>
      <c r="K210" s="404" t="n"/>
      <c r="L210" s="418" t="n"/>
      <c r="M210" s="416" t="n"/>
      <c r="N210" s="416" t="n"/>
      <c r="O210" s="416" t="n"/>
      <c r="P210" s="416" t="n"/>
      <c r="Q210" s="416" t="n"/>
      <c r="R210" s="416" t="n"/>
      <c r="S210" s="416" t="n"/>
      <c r="T210" s="416" t="n"/>
    </row>
    <row r="211" ht="15.75" customHeight="1" s="279">
      <c r="A211" s="407" t="inlineStr">
        <is>
          <t>Queue on Bus Stop</t>
        </is>
      </c>
      <c r="B211" s="453">
        <f>HYPERLINK("http://codeforces.com/contest/435/problem/A","CF435-D2-A")</f>
        <v/>
      </c>
      <c r="C211" s="404" t="n"/>
      <c r="D211" s="404" t="n"/>
      <c r="E211" s="404" t="n"/>
      <c r="F211" s="404" t="n"/>
      <c r="G211" s="404" t="n"/>
      <c r="H211" s="404" t="n"/>
      <c r="I211" s="404">
        <f>SUM(E211:H211)</f>
        <v/>
      </c>
      <c r="J211" s="418" t="n"/>
      <c r="K211" s="404" t="n"/>
      <c r="L211" s="418" t="n"/>
      <c r="M211" s="416" t="n"/>
      <c r="N211" s="416" t="n"/>
      <c r="O211" s="416" t="n"/>
      <c r="P211" s="416" t="n"/>
      <c r="Q211" s="416" t="n"/>
      <c r="R211" s="416" t="n"/>
      <c r="S211" s="416" t="n"/>
      <c r="T211" s="416" t="n"/>
    </row>
    <row r="212" ht="15.75" customHeight="1" s="279">
      <c r="A212" s="407" t="inlineStr">
        <is>
          <t>Bicycle Chain</t>
        </is>
      </c>
      <c r="B212" s="453">
        <f>HYPERLINK("http://codeforces.com/contest/215/problem/A","CF215-D2-A")</f>
        <v/>
      </c>
      <c r="C212" s="404" t="n"/>
      <c r="D212" s="404" t="n"/>
      <c r="E212" s="404" t="n"/>
      <c r="F212" s="404" t="n"/>
      <c r="G212" s="404" t="n"/>
      <c r="H212" s="404" t="n"/>
      <c r="I212" s="404">
        <f>SUM(E212:H212)</f>
        <v/>
      </c>
      <c r="J212" s="418" t="n"/>
      <c r="K212" s="404" t="n"/>
      <c r="L212" s="418" t="n"/>
      <c r="M212" s="416" t="n"/>
      <c r="N212" s="416" t="n"/>
      <c r="O212" s="416" t="n"/>
      <c r="P212" s="416" t="n"/>
      <c r="Q212" s="416" t="n"/>
      <c r="R212" s="416" t="n"/>
      <c r="S212" s="416" t="n"/>
      <c r="T212" s="416" t="n"/>
    </row>
    <row r="213" ht="15.75" customHeight="1" s="279">
      <c r="A213" s="407" t="inlineStr">
        <is>
          <t>Little Elephant and Rozdil</t>
        </is>
      </c>
      <c r="B213" s="453">
        <f>HYPERLINK("http://codeforces.com/contest/205/problem/A","CF205-D2-A")</f>
        <v/>
      </c>
      <c r="C213" s="404" t="n"/>
      <c r="D213" s="404" t="n"/>
      <c r="E213" s="404" t="n"/>
      <c r="F213" s="404" t="n"/>
      <c r="G213" s="404" t="n"/>
      <c r="H213" s="404" t="n"/>
      <c r="I213" s="404">
        <f>SUM(E213:H213)</f>
        <v/>
      </c>
      <c r="J213" s="418" t="n"/>
      <c r="K213" s="404" t="n"/>
      <c r="L213" s="418" t="n"/>
      <c r="M213" s="416" t="n"/>
      <c r="N213" s="416" t="n"/>
      <c r="O213" s="416" t="n"/>
      <c r="P213" s="416" t="n"/>
      <c r="Q213" s="416" t="n"/>
      <c r="R213" s="416" t="n"/>
      <c r="S213" s="416" t="n"/>
      <c r="T213" s="416" t="n"/>
    </row>
    <row r="214" ht="15.75" customHeight="1" s="279">
      <c r="A214" s="407" t="inlineStr">
        <is>
          <t>Amr and Music</t>
        </is>
      </c>
      <c r="B214" s="453">
        <f>HYPERLINK("http://codeforces.com/contest/507/problem/A","CF507-D2-A")</f>
        <v/>
      </c>
      <c r="C214" s="404" t="n"/>
      <c r="D214" s="404" t="n"/>
      <c r="E214" s="404" t="n"/>
      <c r="F214" s="404" t="n"/>
      <c r="G214" s="404" t="n"/>
      <c r="H214" s="404" t="n"/>
      <c r="I214" s="404">
        <f>SUM(E214:H214)</f>
        <v/>
      </c>
      <c r="J214" s="418" t="n"/>
      <c r="K214" s="404" t="n"/>
      <c r="L214" s="418" t="n"/>
      <c r="M214" s="416" t="n"/>
      <c r="N214" s="416" t="n"/>
      <c r="O214" s="416" t="n"/>
      <c r="P214" s="416" t="n"/>
      <c r="Q214" s="416" t="n"/>
      <c r="R214" s="416" t="n"/>
      <c r="S214" s="416" t="n"/>
      <c r="T214" s="416" t="n"/>
    </row>
    <row r="215" ht="15.75" customHeight="1" s="279">
      <c r="A215" s="407" t="inlineStr">
        <is>
          <t>Marks</t>
        </is>
      </c>
      <c r="B215" s="453">
        <f>HYPERLINK("http://codeforces.com/contest/152/problem/A","CF152-D2-A")</f>
        <v/>
      </c>
      <c r="C215" s="404" t="n"/>
      <c r="D215" s="404" t="n"/>
      <c r="E215" s="404" t="n"/>
      <c r="F215" s="404" t="n"/>
      <c r="G215" s="404" t="n"/>
      <c r="H215" s="404" t="n"/>
      <c r="I215" s="404">
        <f>SUM(E215:H215)</f>
        <v/>
      </c>
      <c r="J215" s="418" t="n"/>
      <c r="K215" s="404" t="n"/>
      <c r="L215" s="418" t="n"/>
      <c r="M215" s="416" t="n"/>
      <c r="N215" s="416" t="n"/>
      <c r="O215" s="416" t="n"/>
      <c r="P215" s="416" t="n"/>
      <c r="Q215" s="416" t="n"/>
      <c r="R215" s="416" t="n"/>
      <c r="S215" s="416" t="n"/>
      <c r="T215" s="416" t="n"/>
    </row>
    <row r="216" ht="15.75" customHeight="1" s="279">
      <c r="A216" s="407" t="inlineStr">
        <is>
          <t>Postcards and photos</t>
        </is>
      </c>
      <c r="B216" s="453">
        <f>HYPERLINK("http://codeforces.com/contest/137/problem/A","CF137-D2-A")</f>
        <v/>
      </c>
      <c r="C216" s="404" t="n"/>
      <c r="D216" s="404" t="n"/>
      <c r="E216" s="404" t="n"/>
      <c r="F216" s="404" t="n"/>
      <c r="G216" s="404" t="n"/>
      <c r="H216" s="404" t="n"/>
      <c r="I216" s="404">
        <f>SUM(E216:H216)</f>
        <v/>
      </c>
      <c r="J216" s="418" t="n"/>
      <c r="K216" s="404" t="n"/>
      <c r="L216" s="418" t="n"/>
      <c r="M216" s="416" t="n"/>
      <c r="N216" s="416" t="n"/>
      <c r="O216" s="416" t="n"/>
      <c r="P216" s="416" t="n"/>
      <c r="Q216" s="416" t="n"/>
      <c r="R216" s="416" t="n"/>
      <c r="S216" s="416" t="n"/>
      <c r="T216" s="416" t="n"/>
    </row>
    <row r="217" ht="15.75" customHeight="1" s="279">
      <c r="A217" s="407" t="n"/>
      <c r="B217" s="407" t="n"/>
      <c r="C217" s="404" t="n"/>
      <c r="D217" s="404" t="n"/>
      <c r="E217" s="404" t="n"/>
      <c r="F217" s="404" t="n"/>
      <c r="G217" s="404" t="n"/>
      <c r="H217" s="404" t="n"/>
      <c r="I217" s="404">
        <f>SUM(E217:H217)</f>
        <v/>
      </c>
      <c r="J217" s="418" t="n"/>
      <c r="K217" s="404" t="n"/>
      <c r="L217" s="418" t="n"/>
      <c r="M217" s="416" t="n"/>
      <c r="N217" s="416" t="n"/>
      <c r="O217" s="416" t="n"/>
      <c r="P217" s="416" t="n"/>
      <c r="Q217" s="416" t="n"/>
      <c r="R217" s="416" t="n"/>
      <c r="S217" s="416" t="n"/>
      <c r="T217" s="416" t="n"/>
    </row>
    <row r="218" ht="15.75" customHeight="1" s="279">
      <c r="A218" s="407" t="inlineStr">
        <is>
          <t>Business trip</t>
        </is>
      </c>
      <c r="B218" s="453">
        <f>HYPERLINK("http://codeforces.com/contest/149/problem/A","CF149-D2-A")</f>
        <v/>
      </c>
      <c r="C218" s="404" t="n"/>
      <c r="D218" s="404" t="n"/>
      <c r="E218" s="404" t="n"/>
      <c r="F218" s="404" t="n"/>
      <c r="G218" s="404" t="n"/>
      <c r="H218" s="404" t="n"/>
      <c r="I218" s="404">
        <f>SUM(E218:H218)</f>
        <v/>
      </c>
      <c r="J218" s="418" t="n"/>
      <c r="K218" s="404" t="n"/>
      <c r="L218" s="418" t="n"/>
      <c r="M218" s="416" t="n"/>
      <c r="N218" s="416" t="n"/>
      <c r="O218" s="416" t="n"/>
      <c r="P218" s="416" t="n"/>
      <c r="Q218" s="416" t="n"/>
      <c r="R218" s="416" t="n"/>
      <c r="S218" s="416" t="n"/>
      <c r="T218" s="416" t="n"/>
    </row>
    <row r="219" ht="15.75" customHeight="1" s="279">
      <c r="A219" s="295" t="inlineStr">
        <is>
          <t>Drazil and Date</t>
        </is>
      </c>
      <c r="B219" s="417">
        <f>HYPERLINK("http://codeforces.com/contest/515/problem/A","CF515-D2-A")</f>
        <v/>
      </c>
      <c r="C219" s="404" t="n"/>
      <c r="D219" s="404" t="n"/>
      <c r="E219" s="404" t="n"/>
      <c r="F219" s="404" t="n"/>
      <c r="G219" s="404" t="n"/>
      <c r="H219" s="404" t="n"/>
      <c r="I219" s="404">
        <f>SUM(E219:H219)</f>
        <v/>
      </c>
      <c r="J219" s="418" t="n"/>
      <c r="K219" s="404" t="n"/>
      <c r="L219" s="418" t="n"/>
      <c r="M219" s="416" t="n"/>
      <c r="N219" s="416" t="n"/>
      <c r="O219" s="416" t="n"/>
      <c r="P219" s="416" t="n"/>
      <c r="Q219" s="416" t="n"/>
      <c r="R219" s="416" t="n"/>
      <c r="S219" s="416" t="n"/>
      <c r="T219" s="416" t="n"/>
    </row>
    <row r="220" ht="15.75" customHeight="1" s="279">
      <c r="A220" s="295" t="inlineStr">
        <is>
          <t>Multiplication Table</t>
        </is>
      </c>
      <c r="B220" s="417">
        <f>HYPERLINK("http://codeforces.com/contest/577/problem/A","CF577-D2-A")</f>
        <v/>
      </c>
      <c r="C220" s="404" t="n"/>
      <c r="D220" s="404" t="n"/>
      <c r="E220" s="404" t="n"/>
      <c r="F220" s="404" t="n"/>
      <c r="G220" s="404" t="n"/>
      <c r="H220" s="404" t="n"/>
      <c r="I220" s="404">
        <f>SUM(E220:H220)</f>
        <v/>
      </c>
      <c r="J220" s="418" t="n"/>
      <c r="K220" s="404" t="n"/>
      <c r="L220" s="418" t="n"/>
      <c r="M220" s="416" t="n"/>
      <c r="N220" s="416" t="n"/>
      <c r="O220" s="416" t="n"/>
      <c r="P220" s="416" t="n"/>
      <c r="Q220" s="416" t="n"/>
      <c r="R220" s="416" t="n"/>
      <c r="S220" s="416" t="n"/>
      <c r="T220" s="416" t="n"/>
    </row>
    <row r="221" ht="15.75" customHeight="1" s="279">
      <c r="A221" s="407" t="inlineStr">
        <is>
          <t>Exam</t>
        </is>
      </c>
      <c r="B221" s="453">
        <f>HYPERLINK("http://codeforces.com/contest/534/problem/A","CF534-D2-A")</f>
        <v/>
      </c>
      <c r="C221" s="404" t="n"/>
      <c r="D221" s="404" t="n"/>
      <c r="E221" s="404" t="n"/>
      <c r="F221" s="404" t="n"/>
      <c r="G221" s="404" t="n"/>
      <c r="H221" s="404" t="n"/>
      <c r="I221" s="404">
        <f>SUM(E221:H221)</f>
        <v/>
      </c>
      <c r="J221" s="418" t="n"/>
      <c r="K221" s="404" t="n"/>
      <c r="L221" s="418" t="n"/>
      <c r="M221" s="416" t="n"/>
      <c r="N221" s="416" t="n"/>
      <c r="O221" s="416" t="n"/>
      <c r="P221" s="416" t="n"/>
      <c r="Q221" s="416" t="n"/>
      <c r="R221" s="416" t="n"/>
      <c r="S221" s="416" t="n"/>
      <c r="T221" s="416" t="n"/>
    </row>
    <row r="222" ht="15.75" customHeight="1" s="279">
      <c r="A222" s="407" t="inlineStr">
        <is>
          <t>Alena's Schedule</t>
        </is>
      </c>
      <c r="B222" s="453">
        <f>HYPERLINK("http://codeforces.com/contest/586/problem/A","CF586-D2-A")</f>
        <v/>
      </c>
      <c r="C222" s="404" t="n"/>
      <c r="D222" s="404" t="n"/>
      <c r="E222" s="404" t="n"/>
      <c r="F222" s="404" t="n"/>
      <c r="G222" s="404" t="n"/>
      <c r="H222" s="404" t="n"/>
      <c r="I222" s="404">
        <f>SUM(E222:H222)</f>
        <v/>
      </c>
      <c r="J222" s="418" t="n"/>
      <c r="K222" s="404" t="n"/>
      <c r="L222" s="418" t="n"/>
      <c r="M222" s="416" t="n"/>
      <c r="N222" s="416" t="n"/>
      <c r="O222" s="416" t="n"/>
      <c r="P222" s="416" t="n"/>
      <c r="Q222" s="416" t="n"/>
      <c r="R222" s="416" t="n"/>
      <c r="S222" s="416" t="n"/>
      <c r="T222" s="416" t="n"/>
    </row>
    <row r="223" ht="15.75" customHeight="1" s="279">
      <c r="A223" s="407" t="inlineStr">
        <is>
          <t>Interview</t>
        </is>
      </c>
      <c r="B223" s="453">
        <f>HYPERLINK("http://codeforces.com/contest/631/problem/A","CF631-D2-A")</f>
        <v/>
      </c>
      <c r="C223" s="404" t="n"/>
      <c r="D223" s="404" t="n"/>
      <c r="E223" s="404" t="n"/>
      <c r="F223" s="404" t="n"/>
      <c r="G223" s="404" t="n"/>
      <c r="H223" s="404" t="n"/>
      <c r="I223" s="404">
        <f>SUM(E223:H223)</f>
        <v/>
      </c>
      <c r="J223" s="418" t="n"/>
      <c r="K223" s="404" t="n"/>
      <c r="L223" s="418" t="n"/>
      <c r="M223" s="416" t="n"/>
      <c r="N223" s="416" t="n"/>
      <c r="O223" s="416" t="n"/>
      <c r="P223" s="416" t="n"/>
      <c r="Q223" s="416" t="n"/>
      <c r="R223" s="416" t="n"/>
      <c r="S223" s="416" t="n"/>
      <c r="T223" s="416" t="n"/>
    </row>
    <row r="224" ht="15.75" customHeight="1" s="279">
      <c r="A224" s="407" t="inlineStr">
        <is>
          <t>Lucky Division</t>
        </is>
      </c>
      <c r="B224" s="453">
        <f>HYPERLINK("http://codeforces.com/contest/122/problem/A","CF122-D2-A")</f>
        <v/>
      </c>
      <c r="C224" s="404" t="n"/>
      <c r="D224" s="404" t="n"/>
      <c r="E224" s="404" t="n"/>
      <c r="F224" s="404" t="n"/>
      <c r="G224" s="404" t="n"/>
      <c r="H224" s="404" t="n"/>
      <c r="I224" s="404">
        <f>SUM(E224:H224)</f>
        <v/>
      </c>
      <c r="J224" s="418" t="n"/>
      <c r="K224" s="404" t="n"/>
      <c r="L224" s="418" t="n"/>
      <c r="M224" s="416" t="n"/>
      <c r="N224" s="416" t="n"/>
      <c r="O224" s="416" t="n"/>
      <c r="P224" s="416" t="n"/>
      <c r="Q224" s="416" t="n"/>
      <c r="R224" s="416" t="n"/>
      <c r="S224" s="416" t="n"/>
      <c r="T224" s="416" t="n"/>
    </row>
    <row r="225" ht="15.75" customHeight="1" s="279">
      <c r="A225" s="407" t="inlineStr">
        <is>
          <t>Appleman and Easy Task</t>
        </is>
      </c>
      <c r="B225" s="453">
        <f>HYPERLINK("http://codeforces.com/contest/462/problem/A","CF462-D2-A")</f>
        <v/>
      </c>
      <c r="C225" s="404" t="n"/>
      <c r="D225" s="404" t="n"/>
      <c r="E225" s="404" t="n"/>
      <c r="F225" s="404" t="n"/>
      <c r="G225" s="404" t="n"/>
      <c r="H225" s="404" t="n"/>
      <c r="I225" s="404">
        <f>SUM(E225:H225)</f>
        <v/>
      </c>
      <c r="J225" s="418" t="n"/>
      <c r="K225" s="404" t="n"/>
      <c r="L225" s="418" t="n"/>
      <c r="M225" s="416" t="n"/>
      <c r="N225" s="416" t="n"/>
      <c r="O225" s="416" t="n"/>
      <c r="P225" s="416" t="n"/>
      <c r="Q225" s="416" t="n"/>
      <c r="R225" s="416" t="n"/>
      <c r="S225" s="416" t="n"/>
      <c r="T225" s="416" t="n"/>
    </row>
    <row r="226" ht="15.75" customHeight="1" s="279">
      <c r="A226" s="407" t="inlineStr">
        <is>
          <t>Vasya and Digital Root</t>
        </is>
      </c>
      <c r="B226" s="453">
        <f>HYPERLINK("http://codeforces.com/contest/355/problem/A","CF355-D2-A")</f>
        <v/>
      </c>
      <c r="C226" s="404" t="n"/>
      <c r="D226" s="404" t="n"/>
      <c r="E226" s="404" t="n"/>
      <c r="F226" s="404" t="n"/>
      <c r="G226" s="404" t="n"/>
      <c r="H226" s="404" t="n"/>
      <c r="I226" s="404">
        <f>SUM(E226:H226)</f>
        <v/>
      </c>
      <c r="J226" s="418" t="n"/>
      <c r="K226" s="404" t="n"/>
      <c r="L226" s="418" t="n"/>
      <c r="M226" s="416" t="n"/>
      <c r="N226" s="416" t="n"/>
      <c r="O226" s="416" t="n"/>
      <c r="P226" s="416" t="n"/>
      <c r="Q226" s="416" t="n"/>
      <c r="R226" s="416" t="n"/>
      <c r="S226" s="416" t="n"/>
      <c r="T226" s="416" t="n"/>
    </row>
    <row r="227" ht="15.75" customHeight="1" s="279">
      <c r="A227" s="407" t="inlineStr">
        <is>
          <t>Parallelepiped</t>
        </is>
      </c>
      <c r="B227" s="453">
        <f>HYPERLINK("http://codeforces.com/contest/224/problem/A","CF224-D2-A")</f>
        <v/>
      </c>
      <c r="C227" s="404" t="n"/>
      <c r="D227" s="404" t="n"/>
      <c r="E227" s="404" t="n"/>
      <c r="F227" s="404" t="n"/>
      <c r="G227" s="404" t="n"/>
      <c r="H227" s="404" t="n"/>
      <c r="I227" s="404">
        <f>SUM(E227:H227)</f>
        <v/>
      </c>
      <c r="J227" s="418" t="n"/>
      <c r="K227" s="404" t="n"/>
      <c r="L227" s="418" t="n"/>
      <c r="M227" s="416" t="n"/>
      <c r="N227" s="416" t="n"/>
      <c r="O227" s="416" t="n"/>
      <c r="P227" s="416" t="n"/>
      <c r="Q227" s="416" t="n"/>
      <c r="R227" s="416" t="n"/>
      <c r="S227" s="416" t="n"/>
      <c r="T227" s="416" t="n"/>
    </row>
    <row r="228" ht="15.75" customHeight="1" s="279">
      <c r="A228" s="407" t="n"/>
      <c r="B228" s="407" t="n"/>
      <c r="C228" s="404" t="n"/>
      <c r="D228" s="404" t="n"/>
      <c r="E228" s="404" t="n"/>
      <c r="F228" s="404" t="n"/>
      <c r="G228" s="404" t="n"/>
      <c r="H228" s="404" t="n"/>
      <c r="I228" s="404">
        <f>SUM(E228:H228)</f>
        <v/>
      </c>
      <c r="J228" s="418" t="n"/>
      <c r="K228" s="404" t="n"/>
      <c r="L228" s="418" t="n"/>
      <c r="M228" s="416" t="n"/>
      <c r="N228" s="416" t="n"/>
      <c r="O228" s="416" t="n"/>
      <c r="P228" s="416" t="n"/>
      <c r="Q228" s="416" t="n"/>
      <c r="R228" s="416" t="n"/>
      <c r="S228" s="416" t="n"/>
      <c r="T228" s="416" t="n"/>
    </row>
    <row r="229" ht="15.75" customHeight="1" s="279">
      <c r="A229" s="407" t="inlineStr">
        <is>
          <t>Group of Students</t>
        </is>
      </c>
      <c r="B229" s="453">
        <f>HYPERLINK("http://codeforces.com/contest/357/problem/A","CF357-D2-A")</f>
        <v/>
      </c>
      <c r="C229" s="404" t="n"/>
      <c r="D229" s="404" t="n"/>
      <c r="E229" s="404" t="n"/>
      <c r="F229" s="404" t="n"/>
      <c r="G229" s="404" t="n"/>
      <c r="H229" s="404" t="n"/>
      <c r="I229" s="404">
        <f>SUM(E229:H229)</f>
        <v/>
      </c>
      <c r="J229" s="418" t="n"/>
      <c r="K229" s="404" t="n"/>
      <c r="L229" s="418" t="n"/>
      <c r="M229" s="416" t="n"/>
      <c r="N229" s="416" t="n"/>
      <c r="O229" s="416" t="n"/>
      <c r="P229" s="416" t="n"/>
      <c r="Q229" s="416" t="n"/>
      <c r="R229" s="416" t="n"/>
      <c r="S229" s="416" t="n"/>
      <c r="T229" s="416" t="n"/>
    </row>
    <row r="230" ht="15.75" customHeight="1" s="279">
      <c r="A230" s="407" t="inlineStr">
        <is>
          <t>Joysticks</t>
        </is>
      </c>
      <c r="B230" s="453">
        <f>HYPERLINK("http://codeforces.com/contest/651/problem/A","CF651-D2-A")</f>
        <v/>
      </c>
      <c r="C230" s="404" t="n"/>
      <c r="D230" s="404" t="n"/>
      <c r="E230" s="404" t="n"/>
      <c r="F230" s="404" t="n"/>
      <c r="G230" s="404" t="n"/>
      <c r="H230" s="404" t="n"/>
      <c r="I230" s="404">
        <f>SUM(E230:H230)</f>
        <v/>
      </c>
      <c r="J230" s="418" t="n"/>
      <c r="K230" s="404" t="n"/>
      <c r="L230" s="418" t="n"/>
      <c r="M230" s="416" t="n"/>
      <c r="N230" s="416" t="n"/>
      <c r="O230" s="416" t="n"/>
      <c r="P230" s="416" t="n"/>
      <c r="Q230" s="416" t="n"/>
      <c r="R230" s="416" t="n"/>
      <c r="S230" s="416" t="n"/>
      <c r="T230" s="416" t="n"/>
    </row>
    <row r="231" ht="15.75" customHeight="1" s="279">
      <c r="A231" s="407" t="inlineStr">
        <is>
          <t>Array</t>
        </is>
      </c>
      <c r="B231" s="453">
        <f>HYPERLINK("http://codeforces.com/contest/300/problem/A","CF300-D2-A")</f>
        <v/>
      </c>
      <c r="C231" s="404" t="n"/>
      <c r="D231" s="404" t="n"/>
      <c r="E231" s="404" t="n"/>
      <c r="F231" s="404" t="n"/>
      <c r="G231" s="404" t="n"/>
      <c r="H231" s="404" t="n"/>
      <c r="I231" s="404">
        <f>SUM(E231:H231)</f>
        <v/>
      </c>
      <c r="J231" s="418" t="n"/>
      <c r="K231" s="404" t="n"/>
      <c r="L231" s="418" t="n"/>
      <c r="M231" s="416" t="n"/>
      <c r="N231" s="416" t="n"/>
      <c r="O231" s="416" t="n"/>
      <c r="P231" s="416" t="n"/>
      <c r="Q231" s="416" t="n"/>
      <c r="R231" s="416" t="n"/>
      <c r="S231" s="416" t="n"/>
      <c r="T231" s="416" t="n"/>
    </row>
    <row r="232" ht="15.75" customHeight="1" s="279">
      <c r="A232" s="295" t="inlineStr">
        <is>
          <t>Round House</t>
        </is>
      </c>
      <c r="B232" s="417">
        <f>HYPERLINK("http://codeforces.com/contest/659/problem/A","CF659-D2-A")</f>
        <v/>
      </c>
      <c r="C232" s="404" t="n"/>
      <c r="D232" s="404" t="n"/>
      <c r="E232" s="404" t="n"/>
      <c r="F232" s="404" t="n"/>
      <c r="G232" s="404" t="n"/>
      <c r="H232" s="404" t="n"/>
      <c r="I232" s="404">
        <f>SUM(E232:H232)</f>
        <v/>
      </c>
      <c r="J232" s="418" t="n"/>
      <c r="K232" s="404" t="n"/>
      <c r="L232" s="418" t="n"/>
      <c r="M232" s="416" t="n"/>
      <c r="N232" s="416" t="n"/>
      <c r="O232" s="416" t="n"/>
      <c r="P232" s="416" t="n"/>
      <c r="Q232" s="416" t="n"/>
      <c r="R232" s="416" t="n"/>
      <c r="S232" s="416" t="n"/>
      <c r="T232" s="416" t="n"/>
    </row>
    <row r="233" ht="15.75" customHeight="1" s="279">
      <c r="A233" s="407" t="inlineStr">
        <is>
          <t>Lala Land and Apple Trees</t>
        </is>
      </c>
      <c r="B233" s="453">
        <f>HYPERLINK("http://codeforces.com/contest/558/problem/A","CF558-D2-A")</f>
        <v/>
      </c>
      <c r="C233" s="404" t="n"/>
      <c r="D233" s="404" t="n"/>
      <c r="E233" s="404" t="n"/>
      <c r="F233" s="404" t="n"/>
      <c r="G233" s="404" t="n"/>
      <c r="H233" s="404" t="n"/>
      <c r="I233" s="404">
        <f>SUM(E233:H233)</f>
        <v/>
      </c>
      <c r="J233" s="418" t="n"/>
      <c r="K233" s="404" t="n"/>
      <c r="L233" s="418" t="n"/>
      <c r="M233" s="416" t="n"/>
      <c r="N233" s="416" t="n"/>
      <c r="O233" s="416" t="n"/>
      <c r="P233" s="416" t="n"/>
      <c r="Q233" s="416" t="n"/>
      <c r="R233" s="416" t="n"/>
      <c r="S233" s="416" t="n"/>
      <c r="T233" s="416" t="n"/>
    </row>
    <row r="234" ht="15.75" customHeight="1" s="279">
      <c r="A234" s="407" t="inlineStr">
        <is>
          <t>Autocomplete</t>
        </is>
      </c>
      <c r="B234" s="453">
        <f>HYPERLINK("http://codeforces.com/contest/53/problem/A","CF53-D2-A")</f>
        <v/>
      </c>
      <c r="C234" s="404" t="n"/>
      <c r="D234" s="404" t="n"/>
      <c r="E234" s="404" t="n"/>
      <c r="F234" s="404" t="n"/>
      <c r="G234" s="404" t="n"/>
      <c r="H234" s="404" t="n"/>
      <c r="I234" s="404">
        <f>SUM(E234:H234)</f>
        <v/>
      </c>
      <c r="J234" s="418" t="n"/>
      <c r="K234" s="404" t="n"/>
      <c r="L234" s="418" t="n"/>
      <c r="M234" s="416" t="n"/>
      <c r="N234" s="416" t="n"/>
      <c r="O234" s="416" t="n"/>
      <c r="P234" s="416" t="n"/>
      <c r="Q234" s="416" t="n"/>
      <c r="R234" s="416" t="n"/>
      <c r="S234" s="416" t="n"/>
      <c r="T234" s="416" t="n"/>
    </row>
    <row r="235" ht="15.75" customHeight="1" s="279">
      <c r="A235" s="407" t="inlineStr">
        <is>
          <t>Digital Counter</t>
        </is>
      </c>
      <c r="B235" s="453">
        <f>HYPERLINK("http://codeforces.com/contest/495/problem/A","CF495-D2-A")</f>
        <v/>
      </c>
      <c r="C235" s="404" t="n"/>
      <c r="D235" s="404" t="n"/>
      <c r="E235" s="404" t="n"/>
      <c r="F235" s="404" t="n"/>
      <c r="G235" s="404" t="n"/>
      <c r="H235" s="404" t="n"/>
      <c r="I235" s="404">
        <f>SUM(E235:H235)</f>
        <v/>
      </c>
      <c r="J235" s="418" t="n"/>
      <c r="K235" s="404" t="n"/>
      <c r="L235" s="418" t="n"/>
      <c r="M235" s="415" t="inlineStr">
        <is>
          <t>Eng Mohamed Ayman</t>
        </is>
      </c>
      <c r="N235" s="416" t="n"/>
      <c r="O235" s="416" t="n"/>
      <c r="P235" s="416" t="n"/>
      <c r="Q235" s="416" t="n"/>
      <c r="R235" s="416" t="n"/>
      <c r="S235" s="416" t="n"/>
      <c r="T235" s="416" t="n"/>
    </row>
    <row r="236" ht="15.75" customHeight="1" s="279">
      <c r="A236" s="407" t="inlineStr">
        <is>
          <t>Life Without Zeros</t>
        </is>
      </c>
      <c r="B236" s="453">
        <f>HYPERLINK("http://codeforces.com/contest/75/problem/A","CF75-D2-A")</f>
        <v/>
      </c>
      <c r="C236" s="404" t="n"/>
      <c r="D236" s="404" t="n"/>
      <c r="E236" s="404" t="n"/>
      <c r="F236" s="404" t="n"/>
      <c r="G236" s="404" t="n"/>
      <c r="H236" s="404" t="n"/>
      <c r="I236" s="404">
        <f>SUM(E236:H236)</f>
        <v/>
      </c>
      <c r="J236" s="418" t="n"/>
      <c r="K236" s="404" t="n"/>
      <c r="L236" s="418" t="n"/>
      <c r="M236" s="415" t="inlineStr">
        <is>
          <t>Eng Mohamed Ayman</t>
        </is>
      </c>
      <c r="N236" s="416" t="n"/>
      <c r="O236" s="416" t="n"/>
      <c r="P236" s="416" t="n"/>
      <c r="Q236" s="416" t="n"/>
      <c r="R236" s="416" t="n"/>
      <c r="S236" s="416" t="n"/>
      <c r="T236" s="416" t="n"/>
    </row>
  </sheetData>
  <mergeCells count="2">
    <mergeCell ref="D108:G108"/>
    <mergeCell ref="J108:M108"/>
  </mergeCells>
  <conditionalFormatting sqref="C3:C272">
    <cfRule type="cellIs" rank="0" priority="2" equalAverage="0" operator="equal" aboveAverage="0" dxfId="0" text="" percent="0" bottom="0">
      <formula>"AC"</formula>
    </cfRule>
    <cfRule type="containsText" rank="0" priority="3" equalAverage="0" operator="containsText" aboveAverage="0" dxfId="1" text="WA" percent="0" bottom="0">
      <formula>NOT(ISERROR(SEARCH("WA",C3)))</formula>
    </cfRule>
    <cfRule type="containsText" rank="0" priority="4" equalAverage="0" operator="containsText" aboveAverage="0" dxfId="1" text="WA" percent="0" bottom="0">
      <formula>NOT(ISERROR(SEARCH("WA",C3)))</formula>
    </cfRule>
    <cfRule type="containsText" rank="0" priority="5" equalAverage="0" operator="containsText" aboveAverage="0" dxfId="2" text="TLE" percent="0" bottom="0">
      <formula>NOT(ISERROR(SEARCH("TLE",C3)))</formula>
    </cfRule>
    <cfRule type="containsText" rank="0" priority="6" equalAverage="0" operator="containsText" aboveAverage="0" dxfId="2" text="TLE" percent="0" bottom="0">
      <formula>NOT(ISERROR(SEARCH("TLE",C3)))</formula>
    </cfRule>
    <cfRule type="containsText" rank="0" priority="7" equalAverage="0" operator="containsText" aboveAverage="0" dxfId="3" text="RTE" percent="0" bottom="0">
      <formula>NOT(ISERROR(SEARCH("RTE",C3)))</formula>
    </cfRule>
    <cfRule type="containsText" rank="0" priority="8" equalAverage="0" operator="containsText" aboveAverage="0" dxfId="3" text="RTE" percent="0" bottom="0">
      <formula>NOT(ISERROR(SEARCH("RTE",C3)))</formula>
    </cfRule>
    <cfRule type="containsText" rank="0" priority="9" equalAverage="0" operator="containsText" aboveAverage="0" dxfId="4" text="CS" percent="0" bottom="0">
      <formula>NOT(ISERROR(SEARCH("CS",C3)))</formula>
    </cfRule>
    <cfRule type="containsText" rank="0" priority="10" equalAverage="0" operator="containsText" aboveAverage="0" dxfId="4" text="CS" percent="0" bottom="0">
      <formula>NOT(ISERROR(SEARCH("CS",C3)))</formula>
    </cfRule>
  </conditionalFormatting>
  <conditionalFormatting sqref="K3:K50 K53:K106 K110:K236">
    <cfRule type="cellIs" rank="0" priority="11" equalAverage="0" operator="equal" aboveAverage="0" dxfId="5" text="" percent="0" bottom="0">
      <formula>"No"</formula>
    </cfRule>
    <cfRule type="cellIs" rank="0" priority="12" equalAverage="0" operator="equal" aboveAverage="0" dxfId="5" text="" percent="0" bottom="0">
      <formula>"no"</formula>
    </cfRule>
    <cfRule type="cellIs" rank="0" priority="13" equalAverage="0" operator="equal" aboveAverage="0" dxfId="5" text="" percent="0" bottom="0">
      <formula>"NO"</formula>
    </cfRule>
  </conditionalFormatting>
  <conditionalFormatting sqref="L1:L236">
    <cfRule type="colorScale" priority="14">
      <colorScale>
        <cfvo type="min" val="0"/>
        <cfvo type="max" val="0"/>
        <color rgb="FF57BB8A"/>
        <color rgb="FFFFFFFF"/>
      </colorScale>
    </cfRule>
  </conditionalFormatting>
  <hyperlinks>
    <hyperlink xmlns:r="http://schemas.openxmlformats.org/officeDocument/2006/relationships" ref="M39" display="very fun math problem it uses gcd in a smart way" r:id="rId1"/>
    <hyperlink xmlns:r="http://schemas.openxmlformats.org/officeDocument/2006/relationships" ref="M120" display="Eng Mohamed Ayman" r:id="rId2"/>
    <hyperlink xmlns:r="http://schemas.openxmlformats.org/officeDocument/2006/relationships" ref="M235" display="Eng Mohamed Ayman" r:id="rId3"/>
    <hyperlink xmlns:r="http://schemas.openxmlformats.org/officeDocument/2006/relationships" ref="M236" display="Eng Mohamed Ayman" r:id="rId4"/>
  </hyperlinks>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M218"/>
  <sheetViews>
    <sheetView showFormulas="0" showGridLines="1" showRowColHeaders="1" showZeros="1" rightToLeft="0" tabSelected="0"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baseColWidth="8" defaultColWidth="15.12890625" defaultRowHeight="15.75" zeroHeight="0" outlineLevelRow="0"/>
  <cols>
    <col width="14" customWidth="1" style="278" min="1" max="1"/>
    <col width="15" customWidth="1" style="278" min="2" max="2"/>
    <col width="6" customWidth="1" style="278" min="3" max="3"/>
    <col width="6.38" customWidth="1" style="278" min="4" max="4"/>
    <col width="7.38" customWidth="1" style="278" min="5" max="5"/>
    <col width="7.63" customWidth="1" style="278" min="6" max="6"/>
    <col width="8.75" customWidth="1" style="278" min="7" max="7"/>
    <col width="7.5" customWidth="1" style="278" min="8" max="9"/>
    <col width="8.75" customWidth="1" style="278" min="10" max="12"/>
    <col width="69.63" customWidth="1" style="278" min="13" max="13"/>
  </cols>
  <sheetData>
    <row r="1" ht="45.75" customHeight="1" s="279">
      <c r="A1" s="456" t="inlineStr">
        <is>
          <t>Option 2</t>
        </is>
      </c>
      <c r="B1" s="400" t="inlineStr">
        <is>
          <t>Problem Code</t>
        </is>
      </c>
      <c r="C1" s="401" t="inlineStr">
        <is>
          <t>Status</t>
        </is>
      </c>
      <c r="D1" s="401" t="inlineStr">
        <is>
          <t>Submit Count</t>
        </is>
      </c>
      <c r="E1" s="401" t="inlineStr">
        <is>
          <t>Reading Time(m)</t>
        </is>
      </c>
      <c r="F1" s="401" t="inlineStr">
        <is>
          <t>Thinking Time(m)</t>
        </is>
      </c>
      <c r="G1" s="401" t="inlineStr">
        <is>
          <t>Coding Time(m)</t>
        </is>
      </c>
      <c r="H1" s="401" t="inlineStr">
        <is>
          <t>Debug Time(m)</t>
        </is>
      </c>
      <c r="I1" s="401" t="inlineStr">
        <is>
          <t>Total Time(m)</t>
        </is>
      </c>
      <c r="J1" s="401" t="inlineStr">
        <is>
          <t>Problem Level /10</t>
        </is>
      </c>
      <c r="K1" s="401" t="inlineStr">
        <is>
          <t>By yourself?</t>
        </is>
      </c>
      <c r="L1" s="401" t="inlineStr">
        <is>
          <t>Category</t>
        </is>
      </c>
      <c r="M1" s="402" t="inlineStr">
        <is>
          <t>1-2 line Comments
About your approach</t>
        </is>
      </c>
    </row>
    <row r="2" ht="23.25" customHeight="1" s="279">
      <c r="A2" s="457" t="n"/>
      <c r="B2" s="301" t="inlineStr">
        <is>
          <t>AC Averages =&gt;</t>
        </is>
      </c>
      <c r="C2" s="405">
        <f>COUNTIF(C3:C10479, "AC")</f>
        <v/>
      </c>
      <c r="D2" s="405">
        <f>ROUND(SUMPRODUCT(D3:D10479,INT(eq(C3:C10479, "AC")))/MAX(1, C2),1)</f>
        <v/>
      </c>
      <c r="E2" s="405">
        <f>ROUND(SUMPRODUCT(E3:E10501,INT(eq(C3:C10501, "AC")))/MAX(1, C2),0)</f>
        <v/>
      </c>
      <c r="F2" s="405">
        <f>ROUND(SUMPRODUCT(F3:F10504,INT(eq(C3:C10504, "AC")))/MAX(1, C2),0)</f>
        <v/>
      </c>
      <c r="G2" s="405">
        <f>ROUND(SUMPRODUCT(G3:G10504,INT(eq(C3:C10504, "AC")))/MAX(1, C2),0)</f>
        <v/>
      </c>
      <c r="H2" s="405">
        <f>ROUND(SUMPRODUCT(H3:H10504,INT(eq(C3:C10504, "AC")))/MAX(1, C2),0)</f>
        <v/>
      </c>
      <c r="I2" s="405">
        <f>ROUND(SUMPRODUCT(I3:I10476,INT(eq(C3:C10476, "AC")))/MAX(1, C2),0)</f>
        <v/>
      </c>
      <c r="J2" s="405">
        <f>ROUND(SUMPRODUCT(J3:J10474,INT(eq(C3:C10474, "AC")))/MAX(1, C2),1)</f>
        <v/>
      </c>
      <c r="K2" s="405">
        <f>SUMPRODUCT(eq(K3:K10479, "YES"),INT(eq(C3:C10504, "AC")))</f>
        <v/>
      </c>
      <c r="L2" s="405">
        <f>IFERROR(__xludf.dummyfunction("COUNTA(FILTER(C3:C9971, NOT(REGEXMATCH(C3:C9971, ""AC""))))"),16)</f>
        <v/>
      </c>
      <c r="M2" s="406">
        <f>IFERROR(__xludf.dummyfunction("COUNTA(FILTER(C3:C9965, NOT(REGEXMATCH(C3:C9965, ""AC""))))"),16)</f>
        <v/>
      </c>
    </row>
    <row r="3" ht="15.75" customHeight="1" s="279">
      <c r="A3" s="295" t="n"/>
      <c r="B3" s="295" t="n"/>
      <c r="C3" s="418" t="n"/>
      <c r="D3" s="418" t="n"/>
      <c r="E3" s="418" t="n"/>
      <c r="F3" s="418" t="n"/>
      <c r="G3" s="418" t="n"/>
      <c r="H3" s="418" t="n"/>
      <c r="I3" s="404">
        <f>SUM(E3:H3)</f>
        <v/>
      </c>
      <c r="J3" s="404" t="n"/>
      <c r="K3" s="404" t="n"/>
      <c r="L3" s="418" t="n"/>
      <c r="M3" s="458">
        <f>HYPERLINK("https://www.youtube.com/watch?v=x1rCxxKfFbM","Watch - Thinking - Problem Simplification ")</f>
        <v/>
      </c>
    </row>
    <row r="4" ht="15.75" customHeight="1" s="279">
      <c r="A4" s="295" t="n"/>
      <c r="B4" s="295" t="n"/>
      <c r="C4" s="418" t="n"/>
      <c r="D4" s="418" t="n"/>
      <c r="E4" s="418" t="n"/>
      <c r="F4" s="418" t="n"/>
      <c r="G4" s="418" t="n"/>
      <c r="H4" s="418" t="n"/>
      <c r="I4" s="404">
        <f>SUM(E4:H4)</f>
        <v/>
      </c>
      <c r="J4" s="404" t="n"/>
      <c r="K4" s="404" t="n"/>
      <c r="L4" s="418" t="n"/>
      <c r="M4" s="458">
        <f>HYPERLINK("https://www.youtube.com/watch?v=7z1498LTCgg","Watch - Thinking - Brainstorm - Rank - Approach ")</f>
        <v/>
      </c>
    </row>
    <row r="5" ht="15.75" customHeight="1" s="279">
      <c r="A5" s="295" t="n"/>
      <c r="B5" s="295" t="n"/>
      <c r="C5" s="418" t="n"/>
      <c r="D5" s="418" t="n"/>
      <c r="E5" s="418" t="n"/>
      <c r="F5" s="418" t="n"/>
      <c r="G5" s="418" t="n"/>
      <c r="H5" s="418" t="n"/>
      <c r="I5" s="404">
        <f>SUM(E5:H5)</f>
        <v/>
      </c>
      <c r="J5" s="404" t="n"/>
      <c r="K5" s="404" t="n"/>
      <c r="L5" s="418" t="n"/>
      <c r="M5" s="315" t="inlineStr">
        <is>
          <t>Study STL</t>
        </is>
      </c>
    </row>
    <row r="6" ht="15.75" customHeight="1" s="279">
      <c r="A6" s="295" t="n"/>
      <c r="B6" s="417" t="n"/>
      <c r="C6" s="418" t="n"/>
      <c r="D6" s="418" t="n"/>
      <c r="E6" s="418" t="n"/>
      <c r="F6" s="418" t="n"/>
      <c r="G6" s="418" t="n"/>
      <c r="H6" s="418" t="n"/>
      <c r="I6" s="404">
        <f>SUM(E6:H6)</f>
        <v/>
      </c>
      <c r="J6" s="404" t="n"/>
      <c r="K6" s="404" t="n"/>
      <c r="L6" s="418" t="n"/>
      <c r="M6" s="458">
        <f>HYPERLINK("https://www.youtube.com/watch?v=9wvqNeX_JnI","Watch - Combinatorics - Permutations and Combinations - 1")</f>
        <v/>
      </c>
    </row>
    <row r="7" ht="15.75" customHeight="1" s="279">
      <c r="A7" s="295" t="n"/>
      <c r="B7" s="417" t="n"/>
      <c r="C7" s="418" t="n"/>
      <c r="D7" s="418" t="n"/>
      <c r="E7" s="418" t="n"/>
      <c r="F7" s="418" t="n"/>
      <c r="G7" s="418" t="n"/>
      <c r="H7" s="418" t="n"/>
      <c r="I7" s="404">
        <f>SUM(E7:H7)</f>
        <v/>
      </c>
      <c r="J7" s="404" t="n"/>
      <c r="K7" s="404" t="n"/>
      <c r="L7" s="418" t="n"/>
      <c r="M7" s="458">
        <f>HYPERLINK("https://www.youtube.com/watch?v=8V_xhaPpjmM","Watch - Combinatorics - Permutations and Combinations - 2")</f>
        <v/>
      </c>
    </row>
    <row r="8" ht="15.75" customHeight="1" s="279">
      <c r="A8" s="459" t="inlineStr">
        <is>
          <t>Petya and Countryside</t>
        </is>
      </c>
      <c r="B8" s="460">
        <f>HYPERLINK("http://codeforces.com/contest/66/problem/B","CF66-D2-B")</f>
        <v/>
      </c>
      <c r="C8" s="428" t="n"/>
      <c r="D8" s="428" t="n"/>
      <c r="E8" s="428" t="n"/>
      <c r="F8" s="428" t="n"/>
      <c r="G8" s="428" t="n"/>
      <c r="H8" s="428" t="n"/>
      <c r="I8" s="429">
        <f>SUM(E8:H8)</f>
        <v/>
      </c>
      <c r="J8" s="429" t="n"/>
      <c r="K8" s="429" t="n"/>
      <c r="L8" s="428" t="n"/>
      <c r="M8" s="461">
        <f>HYPERLINK("https://www.youtube.com/watch?v=XRgCL-gVU7M&amp;feature=youtu.be","Video Solution - Eng Muntaser Abukadeja")</f>
        <v/>
      </c>
    </row>
    <row r="9" ht="15.75" customHeight="1" s="279">
      <c r="A9" s="304" t="inlineStr">
        <is>
          <t>Bear and Finding Criminals</t>
        </is>
      </c>
      <c r="B9" s="327">
        <f>HYPERLINK("http://codeforces.com/contest/680/problem/B","CF680-D2-B")</f>
        <v/>
      </c>
      <c r="C9" s="433" t="inlineStr">
        <is>
          <t>AC</t>
        </is>
      </c>
      <c r="D9" s="418" t="n">
        <v>2</v>
      </c>
      <c r="E9" s="418" t="n">
        <v>3</v>
      </c>
      <c r="F9" s="418" t="n">
        <v>11</v>
      </c>
      <c r="G9" s="418" t="n">
        <v>27</v>
      </c>
      <c r="H9" s="418" t="n"/>
      <c r="I9" s="404">
        <f>SUM(E9:H9)</f>
        <v/>
      </c>
      <c r="J9" s="404" t="n"/>
      <c r="K9" s="404" t="n"/>
      <c r="L9" s="418" t="n"/>
      <c r="M9" s="419">
        <f>HYPERLINK("https://www.youtube.com/watch?v=oKRNtI-ZI5g&amp;feature=youtu.be","Video Solution - Eng Muntaser Abukadeja")</f>
        <v/>
      </c>
    </row>
    <row r="10" ht="23.25" customHeight="1" s="279">
      <c r="A10" s="304" t="inlineStr">
        <is>
          <t>Burglar and Matches</t>
        </is>
      </c>
      <c r="B10" s="327">
        <f>HYPERLINK("http://codeforces.com/contest/16/problem/B","CF16-D2-B")</f>
        <v/>
      </c>
      <c r="C10" s="433" t="inlineStr">
        <is>
          <t>AC</t>
        </is>
      </c>
      <c r="D10" s="418" t="n">
        <v>1</v>
      </c>
      <c r="E10" s="418" t="n">
        <v>4</v>
      </c>
      <c r="F10" s="418" t="n"/>
      <c r="G10" s="418" t="n">
        <v>5</v>
      </c>
      <c r="H10" s="418" t="n"/>
      <c r="I10" s="404">
        <f>SUM(E10:H10)</f>
        <v/>
      </c>
      <c r="J10" s="404" t="n">
        <v>1</v>
      </c>
      <c r="K10" s="404" t="inlineStr">
        <is>
          <t>yes</t>
        </is>
      </c>
      <c r="L10" s="433" t="inlineStr">
        <is>
          <t>sort ,adhoc</t>
        </is>
      </c>
      <c r="M10" s="419">
        <f>HYPERLINK("https://www.youtube.com/watch?v=eDg_yuWBS8o&amp;feature=youtu.be","Video Solution - Eng Muntaser Abukadeja")</f>
        <v/>
      </c>
    </row>
    <row r="11" ht="15.75" customHeight="1" s="279">
      <c r="A11" s="304" t="inlineStr">
        <is>
          <t>Caisa and Pylons</t>
        </is>
      </c>
      <c r="B11" s="327">
        <f>HYPERLINK("http://codeforces.com/contest/463/problem/B","CF463-D2-B")</f>
        <v/>
      </c>
      <c r="C11" s="433" t="inlineStr">
        <is>
          <t>AC</t>
        </is>
      </c>
      <c r="D11" s="418" t="n">
        <v>1</v>
      </c>
      <c r="E11" s="418" t="n">
        <v>2</v>
      </c>
      <c r="F11" s="418" t="n">
        <v>2</v>
      </c>
      <c r="G11" s="418" t="n">
        <v>4</v>
      </c>
      <c r="H11" s="418" t="n"/>
      <c r="I11" s="404">
        <f>SUM(E11:H11)</f>
        <v/>
      </c>
      <c r="J11" s="404" t="n">
        <v>1</v>
      </c>
      <c r="K11" s="404" t="inlineStr">
        <is>
          <t>yes</t>
        </is>
      </c>
      <c r="L11" s="433" t="inlineStr">
        <is>
          <t>gready</t>
        </is>
      </c>
      <c r="M11" s="295" t="inlineStr">
        <is>
          <t xml:space="preserve">the sol is very obvoius yet it is not </t>
        </is>
      </c>
    </row>
    <row r="12" ht="23.25" customHeight="1" s="279">
      <c r="A12" s="304" t="inlineStr">
        <is>
          <t>Sum of Digits</t>
        </is>
      </c>
      <c r="B12" s="327">
        <f>HYPERLINK("http://codeforces.com/contest/102/problem/B","CF102-D2-B")</f>
        <v/>
      </c>
      <c r="C12" s="433" t="inlineStr">
        <is>
          <t>AC</t>
        </is>
      </c>
      <c r="D12" s="418" t="n">
        <v>1</v>
      </c>
      <c r="E12" s="418" t="n">
        <v>2</v>
      </c>
      <c r="F12" s="418" t="n">
        <v>6</v>
      </c>
      <c r="G12" s="418" t="n">
        <v>4</v>
      </c>
      <c r="H12" s="418" t="n"/>
      <c r="I12" s="404">
        <f>SUM(E12:H12)</f>
        <v/>
      </c>
      <c r="J12" s="404" t="n">
        <v>1</v>
      </c>
      <c r="K12" s="404" t="inlineStr">
        <is>
          <t>yes</t>
        </is>
      </c>
      <c r="L12" s="433" t="inlineStr">
        <is>
          <t>stimulation</t>
        </is>
      </c>
      <c r="M12" s="419">
        <f>HYPERLINK("https://www.youtube.com/watch?v=_qdIm9Yj9_U","Video Solution - Eng Muntaser Abukadeja")</f>
        <v/>
      </c>
    </row>
    <row r="13" ht="23.25" customHeight="1" s="279">
      <c r="A13" s="304" t="inlineStr">
        <is>
          <t>Coins</t>
        </is>
      </c>
      <c r="B13" s="327">
        <f>HYPERLINK("http://codeforces.com/contest/47/problem/B","CF47-D2-B")</f>
        <v/>
      </c>
      <c r="C13" s="433" t="inlineStr">
        <is>
          <t>AC</t>
        </is>
      </c>
      <c r="D13" s="418" t="n">
        <v>1</v>
      </c>
      <c r="E13" s="418" t="n">
        <v>2</v>
      </c>
      <c r="F13" s="418" t="n">
        <v>4</v>
      </c>
      <c r="G13" s="418" t="n">
        <v>10</v>
      </c>
      <c r="H13" s="418" t="n"/>
      <c r="I13" s="404">
        <f>SUM(E13:H13)</f>
        <v/>
      </c>
      <c r="J13" s="404" t="n">
        <v>1</v>
      </c>
      <c r="K13" s="404" t="inlineStr">
        <is>
          <t>yes</t>
        </is>
      </c>
      <c r="L13" s="433" t="inlineStr">
        <is>
          <t>stimulation</t>
        </is>
      </c>
      <c r="M13" s="419">
        <f>HYPERLINK("https://www.youtube.com/watch?v=lvK0ZlpWeEY&amp;feature=youtu.be","Video Solution - Eng Samed Hajajla")</f>
        <v/>
      </c>
    </row>
    <row r="14" ht="15.75" customHeight="1" s="279">
      <c r="A14" s="304" t="inlineStr">
        <is>
          <t>Effective Approach</t>
        </is>
      </c>
      <c r="B14" s="327">
        <f>HYPERLINK("http://codeforces.com/contest/227/problem/B","CF227-D2-B")</f>
        <v/>
      </c>
      <c r="C14" s="433" t="n"/>
      <c r="D14" s="418" t="n"/>
      <c r="E14" s="418" t="n"/>
      <c r="F14" s="418" t="n"/>
      <c r="G14" s="418" t="n"/>
      <c r="H14" s="418" t="n"/>
      <c r="I14" s="404">
        <f>SUM(E14:H14)</f>
        <v/>
      </c>
      <c r="J14" s="404" t="n"/>
      <c r="K14" s="404" t="n"/>
      <c r="L14" s="418" t="n"/>
      <c r="M14" s="419">
        <f>HYPERLINK("https://www.youtube.com/watch?v=76gg4S0A2nk","Video Solution - Eng Abanob Ashraf")</f>
        <v/>
      </c>
    </row>
    <row r="15" ht="15.75" customHeight="1" s="279">
      <c r="A15" s="304" t="inlineStr">
        <is>
          <t>Easter Eggs</t>
        </is>
      </c>
      <c r="B15" s="327">
        <f>HYPERLINK("http://codeforces.com/contest/78/problem/B","CF78-D2-B")</f>
        <v/>
      </c>
      <c r="C15" s="433" t="inlineStr">
        <is>
          <t>AC</t>
        </is>
      </c>
      <c r="D15" s="418" t="n">
        <v>1</v>
      </c>
      <c r="E15" s="418" t="n">
        <v>1</v>
      </c>
      <c r="F15" s="418" t="n">
        <v>0</v>
      </c>
      <c r="G15" s="418" t="n">
        <v>1</v>
      </c>
      <c r="H15" s="418" t="n"/>
      <c r="I15" s="404">
        <f>SUM(E15:H15)</f>
        <v/>
      </c>
      <c r="J15" s="404" t="n"/>
      <c r="K15" s="404" t="inlineStr">
        <is>
          <t>no</t>
        </is>
      </c>
      <c r="L15" s="433" t="inlineStr">
        <is>
          <t>adhoc</t>
        </is>
      </c>
      <c r="M15" s="419">
        <f>HYPERLINK("https://www.youtube.com/watch?v=rJN_rI2xiV4","Video Solution - Eng Abanob Ashraf")</f>
        <v/>
      </c>
    </row>
    <row r="16" ht="15.75" customHeight="1" s="279">
      <c r="A16" s="295" t="inlineStr">
        <is>
          <t>Decoding</t>
        </is>
      </c>
      <c r="B16" s="417">
        <f>HYPERLINK("http://codeforces.com/contest/746/problem/B","CF746-D2-B")</f>
        <v/>
      </c>
      <c r="C16" s="433" t="inlineStr">
        <is>
          <t>AC</t>
        </is>
      </c>
      <c r="D16" s="418" t="n">
        <v>1</v>
      </c>
      <c r="E16" s="418" t="n">
        <v>2</v>
      </c>
      <c r="F16" s="418" t="n">
        <v>1</v>
      </c>
      <c r="G16" s="418" t="n">
        <v>5</v>
      </c>
      <c r="H16" s="418" t="n">
        <v>2</v>
      </c>
      <c r="I16" s="404">
        <f>SUM(E16:H16)</f>
        <v/>
      </c>
      <c r="J16" s="404" t="n">
        <v>1</v>
      </c>
      <c r="K16" s="404" t="inlineStr">
        <is>
          <t>yes</t>
        </is>
      </c>
      <c r="L16" s="433" t="inlineStr">
        <is>
          <t>gready</t>
        </is>
      </c>
      <c r="M16" s="419">
        <f>HYPERLINK("https://www.youtube.com/watch?v=FI5HvI9SQtA","Video Solution - Solver to be (Java)")</f>
        <v/>
      </c>
    </row>
    <row r="17" ht="15.75" customHeight="1" s="279">
      <c r="A17" s="295" t="n"/>
      <c r="B17" s="417" t="n"/>
      <c r="C17" s="433" t="n"/>
      <c r="D17" s="418" t="n"/>
      <c r="E17" s="418" t="n"/>
      <c r="F17" s="418" t="n"/>
      <c r="G17" s="418" t="n"/>
      <c r="H17" s="418" t="n"/>
      <c r="I17" s="404">
        <f>SUM(E17:H17)</f>
        <v/>
      </c>
      <c r="J17" s="404" t="n"/>
      <c r="K17" s="404" t="n"/>
      <c r="L17" s="418" t="n"/>
      <c r="M17" s="458">
        <f>HYPERLINK("https://www.youtube.com/watch?v=tKGztXjnnuA","Watch - Training-Secrets of Success")</f>
        <v/>
      </c>
    </row>
    <row r="18" ht="15.75" customHeight="1" s="279">
      <c r="A18" s="295" t="n"/>
      <c r="B18" s="417" t="n"/>
      <c r="C18" s="433" t="n"/>
      <c r="D18" s="418" t="n"/>
      <c r="E18" s="418" t="n"/>
      <c r="F18" s="418" t="n"/>
      <c r="G18" s="418" t="n"/>
      <c r="H18" s="418" t="n"/>
      <c r="I18" s="404">
        <f>SUM(E18:H18)</f>
        <v/>
      </c>
      <c r="J18" s="404" t="n"/>
      <c r="K18" s="404" t="n"/>
      <c r="L18" s="418" t="n"/>
      <c r="M18" s="458">
        <f>HYPERLINK("https://www.youtube.com/watch?v=6QS_Cup1YoI","Revise Stack/Queue datastructure concepts. Learn using STL")</f>
        <v/>
      </c>
    </row>
    <row r="19" ht="15.75" customHeight="1" s="279">
      <c r="A19" s="295" t="n"/>
      <c r="B19" s="417" t="n"/>
      <c r="C19" s="433" t="n"/>
      <c r="D19" s="418" t="n"/>
      <c r="E19" s="418" t="n"/>
      <c r="F19" s="418" t="n"/>
      <c r="G19" s="418" t="n"/>
      <c r="H19" s="418" t="n"/>
      <c r="I19" s="404">
        <f>SUM(E19:H19)</f>
        <v/>
      </c>
      <c r="J19" s="404" t="n"/>
      <c r="K19" s="404" t="n"/>
      <c r="L19" s="418" t="n"/>
      <c r="M19" s="458">
        <f>HYPERLINK("https://www.youtube.com/watch?v=YklnFXpq0ZE","Watch - Number Theory - Fib, GCD, LCM, Pow")</f>
        <v/>
      </c>
    </row>
    <row r="20" ht="15.75" customHeight="1" s="279">
      <c r="A20" s="432" t="inlineStr">
        <is>
          <t>Big Mod</t>
        </is>
      </c>
      <c r="B20" s="462">
        <f>HYPERLINK("https://uva.onlinejudge.org/index.php?option=onlinejudge&amp;page=show_problem&amp;problem=310","UVA 374")</f>
        <v/>
      </c>
      <c r="C20" s="433" t="inlineStr">
        <is>
          <t>AC</t>
        </is>
      </c>
      <c r="D20" s="418" t="n">
        <v>1</v>
      </c>
      <c r="E20" s="418" t="n">
        <v>1</v>
      </c>
      <c r="F20" s="418" t="n"/>
      <c r="G20" s="418" t="n">
        <v>4</v>
      </c>
      <c r="H20" s="418" t="n"/>
      <c r="I20" s="404">
        <f>SUM(E20:H20)</f>
        <v/>
      </c>
      <c r="J20" s="404" t="n">
        <v>2</v>
      </c>
      <c r="K20" s="404" t="inlineStr">
        <is>
          <t>yes</t>
        </is>
      </c>
      <c r="L20" s="433" t="inlineStr">
        <is>
          <t>math</t>
        </is>
      </c>
      <c r="M20" s="295" t="inlineStr">
        <is>
          <t>you need to remember the algo just that</t>
        </is>
      </c>
    </row>
    <row r="21" ht="15.75" customHeight="1" s="279">
      <c r="A21" s="432" t="inlineStr">
        <is>
          <t>Combinations</t>
        </is>
      </c>
      <c r="B21" s="316">
        <f>HYPERLINK("https://uva.onlinejudge.org/index.php?option=onlinejudge&amp;page=show_problem&amp;problem=305","UVA 369")</f>
        <v/>
      </c>
      <c r="C21" s="433" t="inlineStr">
        <is>
          <t>AC</t>
        </is>
      </c>
      <c r="D21" s="418" t="n">
        <v>1</v>
      </c>
      <c r="E21" s="418" t="n">
        <v>1</v>
      </c>
      <c r="F21" s="418" t="n">
        <v>4</v>
      </c>
      <c r="G21" s="418" t="n">
        <v>20</v>
      </c>
      <c r="H21" s="418" t="n"/>
      <c r="I21" s="404">
        <f>SUM(E21:H21)</f>
        <v/>
      </c>
      <c r="J21" s="404" t="n">
        <v>3</v>
      </c>
      <c r="K21" s="404" t="inlineStr">
        <is>
          <t>hint</t>
        </is>
      </c>
      <c r="L21" s="433" t="inlineStr">
        <is>
          <t>math</t>
        </is>
      </c>
      <c r="M21" s="295" t="inlineStr">
        <is>
          <t>pascal tringle is very cool</t>
        </is>
      </c>
    </row>
    <row r="22" ht="15.75" customHeight="1" s="279">
      <c r="A22" s="432" t="inlineStr">
        <is>
          <t>Pi</t>
        </is>
      </c>
      <c r="B22" s="316">
        <f>HYPERLINK("https://uva.onlinejudge.org/index.php?option=onlinejudge&amp;page=show_problem&amp;problem=353","UVA 412")</f>
        <v/>
      </c>
      <c r="C22" s="433" t="inlineStr">
        <is>
          <t>AC</t>
        </is>
      </c>
      <c r="D22" s="418" t="n">
        <v>2</v>
      </c>
      <c r="E22" s="418" t="n">
        <v>5</v>
      </c>
      <c r="F22" s="418" t="n">
        <v>6</v>
      </c>
      <c r="G22" s="418" t="n">
        <v>5</v>
      </c>
      <c r="H22" s="418" t="n">
        <v>10</v>
      </c>
      <c r="I22" s="404">
        <f>SUM(E22:H22)</f>
        <v/>
      </c>
      <c r="J22" s="404" t="n">
        <v>2</v>
      </c>
      <c r="K22" s="404" t="inlineStr">
        <is>
          <t>hint</t>
        </is>
      </c>
      <c r="L22" s="433" t="inlineStr">
        <is>
          <t>math</t>
        </is>
      </c>
      <c r="M22" s="421" t="inlineStr">
        <is>
          <t xml:space="preserve">i am a fool </t>
        </is>
      </c>
    </row>
    <row r="23" ht="15.75" customHeight="1" s="279">
      <c r="A23" s="437" t="inlineStr">
        <is>
          <t>Adding Reversed Numbers</t>
        </is>
      </c>
      <c r="B23" s="438">
        <f>HYPERLINK("https://uva.onlinejudge.org/index.php?option=onlinejudge&amp;page=show_problem&amp;problem=654","UVA 713")</f>
        <v/>
      </c>
      <c r="C23" s="404" t="inlineStr">
        <is>
          <t>AC</t>
        </is>
      </c>
      <c r="D23" s="404" t="n">
        <v>3</v>
      </c>
      <c r="E23" s="404" t="n">
        <v>2</v>
      </c>
      <c r="F23" s="404" t="n">
        <v>5</v>
      </c>
      <c r="G23" s="404" t="n">
        <v>12</v>
      </c>
      <c r="H23" s="404" t="n">
        <v>12</v>
      </c>
      <c r="I23" s="404">
        <f>SUM(E23:H23)</f>
        <v/>
      </c>
      <c r="J23" s="404" t="n">
        <v>2</v>
      </c>
      <c r="K23" s="404" t="inlineStr">
        <is>
          <t>YEs</t>
        </is>
      </c>
      <c r="L23" s="404" t="n"/>
      <c r="M23" s="416" t="inlineStr">
        <is>
          <t>i am a fool  who doesnt understand stl</t>
        </is>
      </c>
    </row>
    <row r="24" ht="15.75" customHeight="1" s="279">
      <c r="A24" s="437" t="inlineStr">
        <is>
          <t>Taxi</t>
        </is>
      </c>
      <c r="B24" s="438">
        <f>HYPERLINK("http://acm.timus.ru/problem.aspx?space=1&amp;num=1607","TIMUS 1607")</f>
        <v/>
      </c>
      <c r="C24" s="404" t="inlineStr">
        <is>
          <t>RS</t>
        </is>
      </c>
      <c r="D24" s="404" t="n">
        <v>0</v>
      </c>
      <c r="E24" s="404" t="n">
        <v>1</v>
      </c>
      <c r="F24" s="404" t="n">
        <v>20</v>
      </c>
      <c r="G24" s="404" t="n">
        <v>5</v>
      </c>
      <c r="H24" s="404" t="n"/>
      <c r="I24" s="404">
        <f>SUM(E24:H24)</f>
        <v/>
      </c>
      <c r="J24" s="404" t="n">
        <v>0</v>
      </c>
      <c r="K24" s="404" t="n"/>
      <c r="L24" s="404" t="n"/>
      <c r="M24" s="416" t="inlineStr">
        <is>
          <t>i hate this question no beutiful answer no elgence just boring while loop it is so ugly i cant even look at it</t>
        </is>
      </c>
    </row>
    <row r="25" ht="15.75" customHeight="1" s="279">
      <c r="A25" s="437" t="inlineStr">
        <is>
          <t>The Drunk Jailer</t>
        </is>
      </c>
      <c r="B25" s="438">
        <f>HYPERLINK("https://icpcarchive.ecs.baylor.edu/index.php?option=com_onlinejudge&amp;Itemid=8&amp;page=show_problem&amp;problem=558","LIVEARCHIVE 2557")</f>
        <v/>
      </c>
      <c r="C25" s="404" t="inlineStr">
        <is>
          <t>AC</t>
        </is>
      </c>
      <c r="D25" s="404" t="n">
        <v>1</v>
      </c>
      <c r="E25" s="404" t="n">
        <v>3</v>
      </c>
      <c r="F25" s="404" t="n">
        <v>4</v>
      </c>
      <c r="G25" s="404" t="n">
        <v>4</v>
      </c>
      <c r="H25" s="404" t="n"/>
      <c r="I25" s="404">
        <f>SUM(E25:H25)</f>
        <v/>
      </c>
      <c r="J25" s="404" t="n">
        <v>2</v>
      </c>
      <c r="K25" s="404" t="n"/>
      <c r="L25" s="404" t="n"/>
      <c r="M25" s="415">
        <f>HYPERLINK("https://raw.githubusercontent.com/NadaAlaa/CompetitiveProgramming/master/LiveArchive/2557.cpp","Find a formula")</f>
        <v/>
      </c>
    </row>
    <row r="26" ht="15.75" customHeight="1" s="279">
      <c r="A26" s="437" t="inlineStr">
        <is>
          <t>Vanya and Lanterns</t>
        </is>
      </c>
      <c r="B26" s="438">
        <f>HYPERLINK("http://codeforces.com/contest/492/problem/B","CF492-D2-B")</f>
        <v/>
      </c>
      <c r="C26" s="301" t="inlineStr">
        <is>
          <t>AC</t>
        </is>
      </c>
      <c r="D26" s="295" t="n">
        <v>2</v>
      </c>
      <c r="E26" s="295" t="n">
        <v>1</v>
      </c>
      <c r="F26" s="295" t="n">
        <v>3</v>
      </c>
      <c r="G26" s="295" t="n">
        <v>24</v>
      </c>
      <c r="H26" s="418" t="n"/>
      <c r="I26" s="404">
        <f>SUM(E26:H26)</f>
        <v/>
      </c>
      <c r="J26" s="404" t="n">
        <v>2</v>
      </c>
      <c r="K26" s="404" t="n"/>
      <c r="L26" s="295" t="n"/>
      <c r="M26" s="417">
        <f>HYPERLINK("https://www.youtube.com/watch?v=i4fMKTt8e84","Video Solution - Solver to be (Java)")</f>
        <v/>
      </c>
    </row>
    <row r="27" ht="15.75" customHeight="1" s="279">
      <c r="A27" s="295" t="n"/>
      <c r="B27" s="417" t="n"/>
      <c r="C27" s="433" t="n"/>
      <c r="D27" s="418" t="n"/>
      <c r="E27" s="418" t="n"/>
      <c r="F27" s="418" t="n"/>
      <c r="G27" s="418" t="n"/>
      <c r="H27" s="418" t="n"/>
      <c r="I27" s="404">
        <f>SUM(E27:H27)</f>
        <v/>
      </c>
      <c r="J27" s="404" t="n"/>
      <c r="K27" s="404" t="n"/>
      <c r="L27" s="418" t="n"/>
      <c r="M27" s="463">
        <f>HYPERLINK("https://www.youtube.com/watch?v=hqOqr6vFPp8","Watch - Prefix Sum")</f>
        <v/>
      </c>
    </row>
    <row r="28" ht="15.75" customHeight="1" s="279">
      <c r="A28" s="295" t="inlineStr">
        <is>
          <t>Kuriyama Mirai's Stones</t>
        </is>
      </c>
      <c r="B28" s="462">
        <f>HYPERLINK("http://codeforces.com/contest/433/problem/B","CF433-D2-B")</f>
        <v/>
      </c>
      <c r="C28" s="301" t="inlineStr">
        <is>
          <t>AC</t>
        </is>
      </c>
      <c r="D28" s="295" t="n">
        <v>4</v>
      </c>
      <c r="E28" s="295" t="n">
        <v>0</v>
      </c>
      <c r="F28" s="295" t="n">
        <v>15</v>
      </c>
      <c r="G28" s="295" t="n"/>
      <c r="H28" s="295" t="n"/>
      <c r="I28" s="418">
        <f>SUM(E28:H28)</f>
        <v/>
      </c>
      <c r="J28" s="295" t="n">
        <v>2</v>
      </c>
      <c r="K28" s="295" t="n"/>
      <c r="L28" s="295" t="n"/>
      <c r="M28" s="301" t="inlineStr">
        <is>
          <t>finally defeated my nemmsis</t>
        </is>
      </c>
    </row>
    <row r="29" ht="15.75" customHeight="1" s="279">
      <c r="A29" s="295" t="inlineStr">
        <is>
          <t>Fence</t>
        </is>
      </c>
      <c r="B29" s="462">
        <f>HYPERLINK("http://codeforces.com/contest/363/problem/B","CF363-D2-B")</f>
        <v/>
      </c>
      <c r="C29" s="301" t="inlineStr">
        <is>
          <t>AC</t>
        </is>
      </c>
      <c r="D29" s="295" t="n">
        <v>3</v>
      </c>
      <c r="E29" s="295" t="n">
        <v>1</v>
      </c>
      <c r="F29" s="295" t="n">
        <v>5</v>
      </c>
      <c r="G29" s="295" t="n">
        <v>10</v>
      </c>
      <c r="H29" s="295" t="n">
        <v>10</v>
      </c>
      <c r="I29" s="418">
        <f>SUM(E29:H29)</f>
        <v/>
      </c>
      <c r="J29" s="295" t="n">
        <v>2</v>
      </c>
      <c r="K29" s="301" t="inlineStr">
        <is>
          <t>yes</t>
        </is>
      </c>
      <c r="L29" s="301" t="inlineStr">
        <is>
          <t>gready</t>
        </is>
      </c>
      <c r="M29" s="417" t="inlineStr">
        <is>
          <t>very eazy but i am stupid as per usual</t>
        </is>
      </c>
    </row>
    <row r="30" ht="15.75" customHeight="1" s="279">
      <c r="A30" s="304" t="inlineStr">
        <is>
          <t>President's Office</t>
        </is>
      </c>
      <c r="B30" s="327">
        <f>HYPERLINK("http://codeforces.com/contest/6/problem/B","CF6-D2-B")</f>
        <v/>
      </c>
      <c r="C30" s="433" t="inlineStr">
        <is>
          <t>AC</t>
        </is>
      </c>
      <c r="D30" s="418" t="n">
        <v>2</v>
      </c>
      <c r="E30" s="418" t="n">
        <v>2</v>
      </c>
      <c r="F30" s="418" t="n">
        <v>0</v>
      </c>
      <c r="G30" s="418" t="n">
        <v>17</v>
      </c>
      <c r="H30" s="418" t="n"/>
      <c r="I30" s="404">
        <f>SUM(E30:H30)</f>
        <v/>
      </c>
      <c r="J30" s="404" t="n">
        <v>2</v>
      </c>
      <c r="K30" s="404" t="inlineStr">
        <is>
          <t>yes</t>
        </is>
      </c>
      <c r="L30" s="433" t="inlineStr">
        <is>
          <t>gready</t>
        </is>
      </c>
      <c r="M30" s="425" t="inlineStr">
        <is>
          <t>man this solution is ugly</t>
        </is>
      </c>
    </row>
    <row r="31" ht="23.25" customHeight="1" s="279">
      <c r="A31" s="420" t="inlineStr">
        <is>
          <t>Lovely Palindromes</t>
        </is>
      </c>
      <c r="B31" s="421">
        <f>HYPERLINK("http://codeforces.com/contest/688/problem/B","CF688-D2-B")</f>
        <v/>
      </c>
      <c r="C31" s="301" t="inlineStr">
        <is>
          <t>AC</t>
        </is>
      </c>
      <c r="D31" s="295" t="n">
        <v>1</v>
      </c>
      <c r="E31" s="295" t="n">
        <v>2</v>
      </c>
      <c r="F31" s="295" t="n">
        <v>0</v>
      </c>
      <c r="G31" s="295" t="n">
        <v>2</v>
      </c>
      <c r="H31" s="418" t="n">
        <v>0</v>
      </c>
      <c r="I31" s="404">
        <f>SUM(E31:H31)</f>
        <v/>
      </c>
      <c r="J31" s="404" t="n">
        <v>2</v>
      </c>
      <c r="K31" s="404" t="inlineStr">
        <is>
          <t>yes</t>
        </is>
      </c>
      <c r="L31" s="301" t="inlineStr">
        <is>
          <t>adhoc,math</t>
        </is>
      </c>
      <c r="M31" s="419">
        <f>HYPERLINK("https://www.youtube.com/watch?v=sy_g77hnbaA","Video Solution - Solver to be (Java)")</f>
        <v/>
      </c>
    </row>
    <row r="32" ht="23.25" customHeight="1" s="279">
      <c r="A32" s="420" t="inlineStr">
        <is>
          <t>Sort the Array</t>
        </is>
      </c>
      <c r="B32" s="421">
        <f>HYPERLINK("http://codeforces.com/contest/451/problem/B","CF451-D2-B")</f>
        <v/>
      </c>
      <c r="C32" s="301" t="inlineStr">
        <is>
          <t>AC</t>
        </is>
      </c>
      <c r="D32" s="295" t="n">
        <v>2</v>
      </c>
      <c r="E32" s="295" t="n">
        <v>3</v>
      </c>
      <c r="F32" s="295" t="n">
        <v>0</v>
      </c>
      <c r="G32" s="295" t="n">
        <v>18</v>
      </c>
      <c r="H32" s="418" t="n"/>
      <c r="I32" s="404">
        <f>SUM(E32:H32)</f>
        <v/>
      </c>
      <c r="J32" s="404" t="n"/>
      <c r="K32" s="404" t="inlineStr">
        <is>
          <t>yes</t>
        </is>
      </c>
      <c r="L32" s="301" t="inlineStr">
        <is>
          <t>adhoc,math</t>
        </is>
      </c>
      <c r="M32" s="464" t="inlineStr">
        <is>
          <t xml:space="preserve">faulty assumptions </t>
        </is>
      </c>
    </row>
    <row r="33" ht="15.75" customHeight="1" s="279">
      <c r="A33" s="420" t="inlineStr">
        <is>
          <t>Summer sell-off</t>
        </is>
      </c>
      <c r="B33" s="421">
        <f>HYPERLINK("http://codeforces.com/contest/810/problem/B","CF810-D2-B")</f>
        <v/>
      </c>
      <c r="C33" s="301" t="inlineStr">
        <is>
          <t>AC</t>
        </is>
      </c>
      <c r="D33" s="295" t="n">
        <v>1</v>
      </c>
      <c r="E33" s="295" t="n">
        <v>4</v>
      </c>
      <c r="F33" s="295" t="n">
        <v>1</v>
      </c>
      <c r="G33" s="295" t="n">
        <v>13</v>
      </c>
      <c r="H33" s="418" t="n"/>
      <c r="I33" s="404">
        <f>SUM(E33:H33)</f>
        <v/>
      </c>
      <c r="J33" s="404" t="n"/>
      <c r="K33" s="404" t="inlineStr">
        <is>
          <t>yes</t>
        </is>
      </c>
      <c r="L33" s="295" t="n"/>
      <c r="M33" s="425" t="inlineStr">
        <is>
          <t xml:space="preserve"> finely used priority queue it is bean a while</t>
        </is>
      </c>
    </row>
    <row r="34" ht="23.25" customHeight="1" s="279">
      <c r="A34" s="420" t="inlineStr">
        <is>
          <t>Colorful Field</t>
        </is>
      </c>
      <c r="B34" s="421">
        <f>HYPERLINK("http://codeforces.com/contest/79/problem/B","CF79-D12-B")</f>
        <v/>
      </c>
      <c r="C34" s="301" t="inlineStr">
        <is>
          <t>AC</t>
        </is>
      </c>
      <c r="D34" s="295" t="n">
        <v>2</v>
      </c>
      <c r="E34" s="295" t="n">
        <v>2</v>
      </c>
      <c r="F34" s="295" t="n">
        <v>20</v>
      </c>
      <c r="G34" s="295" t="n">
        <v>50</v>
      </c>
      <c r="H34" s="418" t="n"/>
      <c r="I34" s="404">
        <f>SUM(E34:H34)</f>
        <v/>
      </c>
      <c r="J34" s="404" t="n"/>
      <c r="K34" s="404" t="inlineStr">
        <is>
          <t>yes</t>
        </is>
      </c>
      <c r="L34" s="301" t="inlineStr">
        <is>
          <t>binary serch</t>
        </is>
      </c>
      <c r="M34" s="295" t="inlineStr">
        <is>
          <t xml:space="preserve">think about memory too dont waste resources </t>
        </is>
      </c>
    </row>
    <row r="35" ht="15.75" customHeight="1" s="279">
      <c r="A35" s="420" t="inlineStr">
        <is>
          <t>Keyboard</t>
        </is>
      </c>
      <c r="B35" s="421">
        <f>HYPERLINK("http://codeforces.com/contest/88/problem/B","CF88-D2-B")</f>
        <v/>
      </c>
      <c r="C35" s="301" t="inlineStr">
        <is>
          <t>AC</t>
        </is>
      </c>
      <c r="D35" s="295" t="n">
        <v>1</v>
      </c>
      <c r="E35" s="295" t="n">
        <v>5</v>
      </c>
      <c r="F35" s="295" t="n">
        <v>10</v>
      </c>
      <c r="G35" s="295" t="n">
        <v>30</v>
      </c>
      <c r="H35" s="418" t="n"/>
      <c r="I35" s="404">
        <f>SUM(E35:H35)</f>
        <v/>
      </c>
      <c r="J35" s="404" t="n"/>
      <c r="K35" s="404" t="inlineStr">
        <is>
          <t>no</t>
        </is>
      </c>
      <c r="L35" s="301" t="inlineStr">
        <is>
          <t>adhoc</t>
        </is>
      </c>
      <c r="M35" s="419">
        <f>HYPERLINK("https://www.youtube.com/watch?v=IlM9o1-xgE4&amp;feature=youtu.be","Video Solution - Eng Muntaser Abukadeja")</f>
        <v/>
      </c>
    </row>
    <row r="36" ht="15.75" customHeight="1" s="279">
      <c r="A36" s="420" t="inlineStr">
        <is>
          <t>Mahmoud and a Triangle</t>
        </is>
      </c>
      <c r="B36" s="421">
        <f>HYPERLINK("http://codeforces.com/contest/766/problem/B","CF766-D2-B")</f>
        <v/>
      </c>
      <c r="C36" s="301" t="n"/>
      <c r="D36" s="295" t="n"/>
      <c r="E36" s="295" t="n"/>
      <c r="F36" s="295" t="n"/>
      <c r="G36" s="295" t="n"/>
      <c r="H36" s="418" t="n"/>
      <c r="I36" s="404">
        <f>SUM(E36:H36)</f>
        <v/>
      </c>
      <c r="J36" s="404" t="n"/>
      <c r="K36" s="404" t="n"/>
      <c r="L36" s="295" t="n"/>
      <c r="M36" s="419">
        <f>HYPERLINK("https://www.youtube.com/watch?v=dCChUGZjaS4","Video Solution - Solver to be (Java)")</f>
        <v/>
      </c>
    </row>
    <row r="37" ht="15.75" customHeight="1" s="279">
      <c r="A37" s="295" t="n"/>
      <c r="B37" s="417" t="n"/>
      <c r="C37" s="433" t="n"/>
      <c r="D37" s="418" t="n"/>
      <c r="E37" s="418" t="n"/>
      <c r="F37" s="418" t="n"/>
      <c r="G37" s="418" t="n"/>
      <c r="H37" s="418" t="n"/>
      <c r="I37" s="404">
        <f>SUM(E37:H37)</f>
        <v/>
      </c>
      <c r="J37" s="404" t="n"/>
      <c r="K37" s="404" t="n"/>
      <c r="L37" s="418" t="n"/>
      <c r="M37" s="458" t="n"/>
    </row>
    <row r="38" ht="15.75" customHeight="1" s="279">
      <c r="A38" s="295" t="n"/>
      <c r="B38" s="417" t="n"/>
      <c r="C38" s="433" t="n"/>
      <c r="D38" s="418" t="n"/>
      <c r="E38" s="418" t="n"/>
      <c r="F38" s="418" t="n"/>
      <c r="G38" s="418" t="n"/>
      <c r="H38" s="418" t="n"/>
      <c r="I38" s="404">
        <f>SUM(E38:H38)</f>
        <v/>
      </c>
      <c r="J38" s="404" t="n"/>
      <c r="K38" s="404" t="n"/>
      <c r="L38" s="418" t="n"/>
      <c r="M38" s="458">
        <f>HYPERLINK("https://www.youtube.com/watch?v=COB1GHq0YwY","Watch - Graph Theory - BFS")</f>
        <v/>
      </c>
    </row>
    <row r="39" ht="15.75" customHeight="1" s="279">
      <c r="A39" s="432" t="inlineStr">
        <is>
          <t>Tic-Tac-Toe ( I )</t>
        </is>
      </c>
      <c r="B39" s="462">
        <f>HYPERLINK("http://www.spoj.com/problems/TOE1/","SPOJ TOE1")</f>
        <v/>
      </c>
      <c r="C39" s="433" t="inlineStr">
        <is>
          <t>AC</t>
        </is>
      </c>
      <c r="D39" s="418" t="n">
        <v>3</v>
      </c>
      <c r="E39" s="418" t="n">
        <v>3</v>
      </c>
      <c r="F39" s="418" t="n">
        <v>10</v>
      </c>
      <c r="G39" s="418" t="n">
        <v>50</v>
      </c>
      <c r="H39" s="418" t="n"/>
      <c r="I39" s="404">
        <f>SUM(E39:H39)</f>
        <v/>
      </c>
      <c r="J39" s="404" t="n">
        <v>3</v>
      </c>
      <c r="K39" s="404" t="inlineStr">
        <is>
          <t>yes</t>
        </is>
      </c>
      <c r="L39" s="433" t="inlineStr">
        <is>
          <t>adhoc</t>
        </is>
      </c>
      <c r="M39" s="419">
        <f>HYPERLINK("https://www.youtube.com/watch?v=VM2c3csK3Ps","Video Solution - Eng Ayman Salah")</f>
        <v/>
      </c>
    </row>
    <row r="40" ht="15.75" customHeight="1" s="279">
      <c r="A40" s="432" t="inlineStr">
        <is>
          <t>Tic-Tac-Toe ( II )</t>
        </is>
      </c>
      <c r="B40" s="462">
        <f>HYPERLINK("http://www.spoj.com/problems/TOE2/","SPOJ TOE2")</f>
        <v/>
      </c>
      <c r="C40" s="433" t="inlineStr">
        <is>
          <t>AC</t>
        </is>
      </c>
      <c r="D40" s="418" t="n">
        <v>2</v>
      </c>
      <c r="E40" s="418" t="n">
        <v>3</v>
      </c>
      <c r="F40" s="418" t="n">
        <v>14</v>
      </c>
      <c r="G40" s="418" t="n">
        <v>7</v>
      </c>
      <c r="H40" s="418" t="n">
        <v>0</v>
      </c>
      <c r="I40" s="404">
        <f>SUM(E40:H40)</f>
        <v/>
      </c>
      <c r="J40" s="404" t="n">
        <v>3</v>
      </c>
      <c r="K40" s="404" t="inlineStr">
        <is>
          <t>yes</t>
        </is>
      </c>
      <c r="L40" s="433" t="inlineStr">
        <is>
          <t>adhoc</t>
        </is>
      </c>
      <c r="M40" s="419">
        <f>HYPERLINK("https://www.youtube.com/watch?v=LleR_xaCfMY&amp;feature=youtu.be","Video Solution - Eng Essam AlNaggar")</f>
        <v/>
      </c>
    </row>
    <row r="41" ht="15.75" customHeight="1" s="279">
      <c r="A41" s="432" t="inlineStr">
        <is>
          <t>Knight Moves</t>
        </is>
      </c>
      <c r="B41" s="462">
        <f>HYPERLINK("https://uva.onlinejudge.org/index.php?option=com_onlinejudge&amp;Itemid=8&amp;page=show_problem&amp;problem=380","UVA 439")</f>
        <v/>
      </c>
      <c r="C41" s="433" t="inlineStr">
        <is>
          <t>CS</t>
        </is>
      </c>
      <c r="D41" s="418" t="n"/>
      <c r="E41" s="418" t="n">
        <v>10</v>
      </c>
      <c r="F41" s="418" t="n"/>
      <c r="G41" s="418" t="n"/>
      <c r="H41" s="418" t="n"/>
      <c r="I41" s="404">
        <f>SUM(E41:H41)</f>
        <v/>
      </c>
      <c r="J41" s="404" t="n"/>
      <c r="K41" s="404" t="n"/>
      <c r="L41" s="418" t="n"/>
      <c r="M41" s="419">
        <f>HYPERLINK("https://www.youtube.com/watch?v=_S7BCbISrdo&amp;feature=youtu.be","Video Solution - Eng Magdy Hasan")</f>
        <v/>
      </c>
    </row>
    <row r="42" ht="15.75" customHeight="1" s="279">
      <c r="A42" s="432" t="inlineStr">
        <is>
          <t>King's Path</t>
        </is>
      </c>
      <c r="B42" s="462">
        <f>HYPERLINK("http://codeforces.com/contest/242/problem/C","CF242-D2-C")</f>
        <v/>
      </c>
      <c r="C42" s="433" t="inlineStr">
        <is>
          <t>AC</t>
        </is>
      </c>
      <c r="D42" s="418" t="n"/>
      <c r="E42" s="418" t="n">
        <v>2</v>
      </c>
      <c r="F42" s="418" t="n">
        <v>5</v>
      </c>
      <c r="G42" s="418" t="n">
        <v>15</v>
      </c>
      <c r="H42" s="418" t="n"/>
      <c r="I42" s="404">
        <f>SUM(E42:H42)</f>
        <v/>
      </c>
      <c r="J42" s="404" t="n"/>
      <c r="K42" s="404" t="inlineStr">
        <is>
          <t>no</t>
        </is>
      </c>
      <c r="L42" s="433" t="inlineStr">
        <is>
          <t>graphs</t>
        </is>
      </c>
      <c r="M42" s="425" t="inlineStr">
        <is>
          <t>i need more practice on bfs and dfs</t>
        </is>
      </c>
    </row>
    <row r="43" ht="15.75" customHeight="1" s="279">
      <c r="A43" s="437" t="inlineStr">
        <is>
          <t>Bookworm</t>
        </is>
      </c>
      <c r="B43" s="465" t="inlineStr">
        <is>
          <t>TIMUS 1638</t>
        </is>
      </c>
      <c r="C43" s="433" t="inlineStr">
        <is>
          <t>AC</t>
        </is>
      </c>
      <c r="D43" s="418" t="n">
        <v>2</v>
      </c>
      <c r="E43" s="418" t="n">
        <v>5</v>
      </c>
      <c r="F43" s="418" t="n">
        <v>3</v>
      </c>
      <c r="G43" s="418" t="n">
        <v>30</v>
      </c>
      <c r="H43" s="418" t="n"/>
      <c r="I43" s="404">
        <f>SUM(E43:H43)</f>
        <v/>
      </c>
      <c r="J43" s="404" t="n">
        <v>4</v>
      </c>
      <c r="K43" s="404" t="inlineStr">
        <is>
          <t>hint</t>
        </is>
      </c>
      <c r="L43" s="433" t="inlineStr">
        <is>
          <t>adhoc</t>
        </is>
      </c>
      <c r="M43" s="295" t="inlineStr">
        <is>
          <t>i hate books</t>
        </is>
      </c>
    </row>
    <row r="44" ht="15.75" customHeight="1" s="279">
      <c r="A44" s="437" t="n"/>
      <c r="B44" s="466" t="inlineStr">
        <is>
          <t>UVA 10461</t>
        </is>
      </c>
      <c r="C44" s="433" t="n"/>
      <c r="D44" s="418" t="n"/>
      <c r="E44" s="418" t="n"/>
      <c r="F44" s="418" t="n"/>
      <c r="G44" s="418" t="n"/>
      <c r="H44" s="418" t="n"/>
      <c r="I44" s="404">
        <f>SUM(E44:H44)</f>
        <v/>
      </c>
      <c r="J44" s="404" t="n"/>
      <c r="K44" s="404" t="n"/>
      <c r="L44" s="418" t="n"/>
      <c r="M44" s="417" t="inlineStr">
        <is>
          <t>Video Solution - Eng Moaz Rashad</t>
        </is>
      </c>
    </row>
    <row r="45" ht="15.75" customHeight="1" s="279">
      <c r="A45" s="295" t="n"/>
      <c r="B45" s="466" t="inlineStr">
        <is>
          <t>SPOJ POSTERIN</t>
        </is>
      </c>
      <c r="C45" s="433" t="n"/>
      <c r="D45" s="418" t="n"/>
      <c r="E45" s="418" t="n"/>
      <c r="F45" s="418" t="n"/>
      <c r="G45" s="418" t="n"/>
      <c r="H45" s="418" t="n"/>
      <c r="I45" s="404">
        <f>SUM(E45:H45)</f>
        <v/>
      </c>
      <c r="J45" s="404" t="n"/>
      <c r="K45" s="404" t="n"/>
      <c r="L45" s="418" t="n"/>
      <c r="M45" s="419">
        <f>HYPERLINK("https://github.com/Ownography/CP/blob/master/SPOJ%20POSTERIN", "Sol")</f>
        <v/>
      </c>
    </row>
    <row r="46" ht="15.75" customHeight="1" s="279">
      <c r="A46" s="295" t="n"/>
      <c r="B46" s="417" t="n"/>
      <c r="C46" s="433" t="n"/>
      <c r="D46" s="418" t="n"/>
      <c r="E46" s="418" t="n"/>
      <c r="F46" s="418" t="n"/>
      <c r="G46" s="418" t="n"/>
      <c r="H46" s="418" t="n"/>
      <c r="I46" s="404">
        <f>SUM(E46:H46)</f>
        <v/>
      </c>
      <c r="J46" s="404" t="n"/>
      <c r="K46" s="404" t="n"/>
      <c r="L46" s="418" t="n"/>
      <c r="M46" s="295" t="n"/>
    </row>
    <row r="47" ht="15.75" customHeight="1" s="279">
      <c r="A47" s="304" t="inlineStr">
        <is>
          <t>Students and Shoelaces</t>
        </is>
      </c>
      <c r="B47" s="327">
        <f>HYPERLINK("http://codeforces.com/contest/129/problem/B","CF129-D2-B")</f>
        <v/>
      </c>
      <c r="C47" s="433" t="inlineStr">
        <is>
          <t>AC</t>
        </is>
      </c>
      <c r="D47" s="418" t="n">
        <v>2</v>
      </c>
      <c r="E47" s="418" t="n">
        <v>3</v>
      </c>
      <c r="F47" s="418" t="n">
        <v>15</v>
      </c>
      <c r="G47" s="418" t="n">
        <v>25</v>
      </c>
      <c r="H47" s="418" t="n">
        <v>5</v>
      </c>
      <c r="I47" s="404">
        <f>SUM(E47:H47)</f>
        <v/>
      </c>
      <c r="J47" s="404" t="n">
        <v>3</v>
      </c>
      <c r="K47" s="404" t="inlineStr">
        <is>
          <t>hint</t>
        </is>
      </c>
      <c r="L47" s="433" t="inlineStr">
        <is>
          <t>graphs</t>
        </is>
      </c>
      <c r="M47" s="419">
        <f>HYPERLINK("https://www.youtube.com/watch?v=si51JINxbpk&amp;feature=youtu.be","Video Solution - Eng Abanob Ashraf")</f>
        <v/>
      </c>
    </row>
    <row r="48" ht="15.75" customHeight="1" s="279">
      <c r="A48" s="304" t="inlineStr">
        <is>
          <t>Dreamoon and WiFi</t>
        </is>
      </c>
      <c r="B48" s="327">
        <f>HYPERLINK("http://codeforces.com/contest/476/problem/B","CF476-D2-B")</f>
        <v/>
      </c>
      <c r="C48" s="433" t="inlineStr">
        <is>
          <t>CS</t>
        </is>
      </c>
      <c r="D48" s="418" t="n">
        <v>0</v>
      </c>
      <c r="E48" s="418" t="n">
        <v>2</v>
      </c>
      <c r="F48" s="418" t="n">
        <v>10</v>
      </c>
      <c r="G48" s="418" t="n">
        <v>20</v>
      </c>
      <c r="H48" s="418" t="n"/>
      <c r="I48" s="404">
        <f>SUM(E48:H48)</f>
        <v/>
      </c>
      <c r="J48" s="404" t="n"/>
      <c r="K48" s="404" t="n"/>
      <c r="L48" s="418" t="n"/>
      <c r="M48" s="419">
        <f>HYPERLINK("https://www.youtube.com/watch?v=uzA2fH9Ol7I&amp;feature=youtu.be","Video Solution - Eng Mohamed Adel")</f>
        <v/>
      </c>
    </row>
    <row r="49" ht="15.75" customHeight="1" s="279">
      <c r="A49" s="304" t="inlineStr">
        <is>
          <t>Chat Online</t>
        </is>
      </c>
      <c r="B49" s="327">
        <f>HYPERLINK("http://codeforces.com/contest/469/problem/B","CF469-D2-B")</f>
        <v/>
      </c>
      <c r="C49" s="433" t="inlineStr">
        <is>
          <t>ac</t>
        </is>
      </c>
      <c r="D49" s="418" t="n">
        <v>1</v>
      </c>
      <c r="E49" s="418" t="n">
        <v>7</v>
      </c>
      <c r="F49" s="418" t="n">
        <v>5</v>
      </c>
      <c r="G49" s="418" t="n">
        <v>12</v>
      </c>
      <c r="H49" s="418" t="n"/>
      <c r="I49" s="404">
        <f>SUM(E49:H49)</f>
        <v/>
      </c>
      <c r="J49" s="404" t="n">
        <v>3</v>
      </c>
      <c r="K49" s="404" t="inlineStr">
        <is>
          <t>yes</t>
        </is>
      </c>
      <c r="L49" s="433" t="inlineStr">
        <is>
          <t>bitwise</t>
        </is>
      </c>
      <c r="M49" s="419">
        <f>HYPERLINK("https://www.youtube.com/watch?v=7ns-xfWB-8g","Video Solution - Eng Mohamed Adel")</f>
        <v/>
      </c>
    </row>
    <row r="50" ht="15.75" customHeight="1" s="279">
      <c r="A50" s="304" t="inlineStr">
        <is>
          <t>Olympic Medal</t>
        </is>
      </c>
      <c r="B50" s="327">
        <f>HYPERLINK("http://codeforces.com/contest/215/problem/B","CF215-D2-B")</f>
        <v/>
      </c>
      <c r="C50" s="433" t="inlineStr">
        <is>
          <t>RC</t>
        </is>
      </c>
      <c r="D50" s="418" t="n"/>
      <c r="E50" s="418" t="n"/>
      <c r="F50" s="418" t="n"/>
      <c r="G50" s="418" t="n"/>
      <c r="H50" s="418" t="n"/>
      <c r="I50" s="404">
        <f>SUM(E50:H50)</f>
        <v/>
      </c>
      <c r="J50" s="404" t="n"/>
      <c r="K50" s="404" t="n"/>
      <c r="L50" s="418" t="n"/>
      <c r="M50" s="417">
        <f>HYPERLINK("https://www.youtube.com/watch?v=9PMRkDH1SAY&amp;t=4s","Video Solution - Eng Ahmed Salah")</f>
        <v/>
      </c>
    </row>
    <row r="51" ht="15.75" customHeight="1" s="279">
      <c r="A51" s="304" t="inlineStr">
        <is>
          <t>Filya and Homework</t>
        </is>
      </c>
      <c r="B51" s="327">
        <f>HYPERLINK("http://codeforces.com/contest/714/problem/B","CF714-D2-B")</f>
        <v/>
      </c>
      <c r="C51" s="433" t="inlineStr">
        <is>
          <t>AC</t>
        </is>
      </c>
      <c r="D51" s="418" t="n">
        <v>2</v>
      </c>
      <c r="E51" s="418" t="n">
        <v>2</v>
      </c>
      <c r="F51" s="418" t="n">
        <v>5</v>
      </c>
      <c r="G51" s="418" t="n">
        <v>10</v>
      </c>
      <c r="H51" s="418" t="n"/>
      <c r="I51" s="404">
        <f>SUM(E51:H51)</f>
        <v/>
      </c>
      <c r="J51" s="404" t="n">
        <v>2</v>
      </c>
      <c r="K51" s="404" t="inlineStr">
        <is>
          <t>yes</t>
        </is>
      </c>
      <c r="L51" s="433" t="inlineStr">
        <is>
          <t>math</t>
        </is>
      </c>
      <c r="M51" s="425" t="inlineStr">
        <is>
          <t xml:space="preserve">i love sets </t>
        </is>
      </c>
    </row>
    <row r="52" ht="15.75" customHeight="1" s="279">
      <c r="A52" s="304" t="inlineStr">
        <is>
          <t>Inna and New Matrix of Candies</t>
        </is>
      </c>
      <c r="B52" s="327">
        <f>HYPERLINK("http://codeforces.com/contest/400/problem/B","CF400-D2-B")</f>
        <v/>
      </c>
      <c r="C52" s="433" t="inlineStr">
        <is>
          <t>AC</t>
        </is>
      </c>
      <c r="D52" s="418" t="n">
        <v>2</v>
      </c>
      <c r="E52" s="418" t="n">
        <v>2</v>
      </c>
      <c r="F52" s="418" t="n">
        <v>3</v>
      </c>
      <c r="G52" s="418" t="n">
        <v>9</v>
      </c>
      <c r="H52" s="418" t="n"/>
      <c r="I52" s="404">
        <f>SUM(E52:H52)</f>
        <v/>
      </c>
      <c r="J52" s="404" t="n">
        <v>2</v>
      </c>
      <c r="K52" s="404" t="inlineStr">
        <is>
          <t>yes</t>
        </is>
      </c>
      <c r="L52" s="433" t="inlineStr">
        <is>
          <t>adhoc</t>
        </is>
      </c>
      <c r="M52" s="419">
        <f>HYPERLINK("https://www.youtube.com/watch?v=ZWL57YYKwUM&amp;t=1s","Video Solution - Eng Mohamed Salah")</f>
        <v/>
      </c>
    </row>
    <row r="53" ht="15.75" customHeight="1" s="279">
      <c r="A53" s="304" t="inlineStr">
        <is>
          <t>Steps</t>
        </is>
      </c>
      <c r="B53" s="327">
        <f>HYPERLINK("http://codeforces.com/contest/152/problem/B","CF152-D2-B")</f>
        <v/>
      </c>
      <c r="C53" s="433" t="inlineStr">
        <is>
          <t>cs</t>
        </is>
      </c>
      <c r="D53" s="418" t="n">
        <v>1</v>
      </c>
      <c r="E53" s="418" t="n">
        <v>6</v>
      </c>
      <c r="F53" s="418" t="n">
        <v>2</v>
      </c>
      <c r="G53" s="418" t="n">
        <v>30</v>
      </c>
      <c r="H53" s="418" t="n"/>
      <c r="I53" s="404">
        <f>SUM(E53:H53)</f>
        <v/>
      </c>
      <c r="J53" s="404" t="n"/>
      <c r="K53" s="404" t="n"/>
      <c r="L53" s="418" t="n"/>
      <c r="M53" s="419">
        <f>HYPERLINK("https://www.youtube.com/watch?v=PNB_OSbdCpQ&amp;feature=youtu.be","Video Solution - Eng Muntaser Abukadeja")</f>
        <v/>
      </c>
    </row>
    <row r="54" ht="15.75" customHeight="1" s="279">
      <c r="A54" s="304" t="inlineStr">
        <is>
          <t>Growing Mushrooms</t>
        </is>
      </c>
      <c r="B54" s="327">
        <f>HYPERLINK("http://codeforces.com/contest/186/problem/B","CF186-D2-B")</f>
        <v/>
      </c>
      <c r="C54" s="433" t="inlineStr">
        <is>
          <t>AC</t>
        </is>
      </c>
      <c r="D54" s="418" t="n">
        <v>2</v>
      </c>
      <c r="E54" s="418" t="n">
        <v>4</v>
      </c>
      <c r="F54" s="418" t="n">
        <v>2</v>
      </c>
      <c r="G54" s="418" t="n">
        <v>40</v>
      </c>
      <c r="H54" s="418" t="n"/>
      <c r="I54" s="404">
        <f>SUM(E54:H54)</f>
        <v/>
      </c>
      <c r="J54" s="404" t="n">
        <v>2</v>
      </c>
      <c r="K54" s="404" t="inlineStr">
        <is>
          <t>yes</t>
        </is>
      </c>
      <c r="L54" s="433" t="inlineStr">
        <is>
          <t>math</t>
        </is>
      </c>
      <c r="M54" s="419">
        <f>HYPERLINK("https://www.youtube.com/watch?v=WdzdNdsaku4","Video Solution - Eng Mohamed Salah")</f>
        <v/>
      </c>
    </row>
    <row r="55" ht="15.75" customHeight="1" s="279">
      <c r="A55" s="420" t="inlineStr">
        <is>
          <t>Escape</t>
        </is>
      </c>
      <c r="B55" s="421">
        <f>HYPERLINK("http://codeforces.com/contest/148/problem/B","CF148-D2-B")</f>
        <v/>
      </c>
      <c r="C55" s="433" t="n"/>
      <c r="D55" s="418" t="n"/>
      <c r="E55" s="418" t="n"/>
      <c r="F55" s="418" t="n"/>
      <c r="G55" s="418" t="n"/>
      <c r="H55" s="418" t="n"/>
      <c r="I55" s="404">
        <f>SUM(E55:H55)</f>
        <v/>
      </c>
      <c r="J55" s="404" t="n"/>
      <c r="K55" s="404" t="n"/>
      <c r="L55" s="418" t="n"/>
      <c r="M55" s="417">
        <f>HYPERLINK("https://www.youtube.com/watch?v=IVVN9u6PGJM&amp;feature=youtu.be#_=_","Video Solution - Eng Ahmed Salah")</f>
        <v/>
      </c>
    </row>
    <row r="56" ht="15.75" customHeight="1" s="279">
      <c r="A56" s="295" t="n"/>
      <c r="B56" s="417" t="n"/>
      <c r="C56" s="433" t="n"/>
      <c r="D56" s="418" t="n"/>
      <c r="E56" s="418" t="n"/>
      <c r="F56" s="418" t="n"/>
      <c r="G56" s="418" t="n"/>
      <c r="H56" s="433" t="inlineStr">
        <is>
          <t xml:space="preserve"> </t>
        </is>
      </c>
      <c r="I56" s="404" t="n"/>
      <c r="J56" s="404" t="n"/>
      <c r="K56" s="404" t="n"/>
      <c r="L56" s="418" t="n"/>
      <c r="M56" s="458" t="inlineStr">
        <is>
          <t>Review - Recursion + Solve excersies</t>
        </is>
      </c>
    </row>
    <row r="57" ht="15.75" customHeight="1" s="279">
      <c r="A57" s="295" t="n"/>
      <c r="B57" s="417" t="n"/>
      <c r="C57" s="433" t="n"/>
      <c r="D57" s="418" t="n"/>
      <c r="E57" s="418" t="n"/>
      <c r="F57" s="418" t="n"/>
      <c r="G57" s="418" t="n"/>
      <c r="H57" s="418" t="n"/>
      <c r="I57" s="404">
        <f>SUM(E57:H57)</f>
        <v/>
      </c>
      <c r="J57" s="404" t="n"/>
      <c r="K57" s="404" t="n"/>
      <c r="L57" s="418" t="n"/>
      <c r="M57" s="458" t="inlineStr">
        <is>
          <t>Review - Recursion - Don't feel bad for missing half of it</t>
        </is>
      </c>
    </row>
    <row r="58" ht="15.75" customHeight="1" s="279">
      <c r="A58" s="295" t="n"/>
      <c r="B58" s="417" t="n"/>
      <c r="C58" s="433" t="n"/>
      <c r="D58" s="418" t="n"/>
      <c r="E58" s="418" t="n"/>
      <c r="F58" s="418" t="n"/>
      <c r="G58" s="418" t="n"/>
      <c r="H58" s="433" t="inlineStr">
        <is>
          <t xml:space="preserve"> </t>
        </is>
      </c>
      <c r="I58" s="404" t="n"/>
      <c r="J58" s="404" t="n"/>
      <c r="K58" s="404" t="n"/>
      <c r="L58" s="418" t="n"/>
      <c r="M58" s="458" t="n"/>
    </row>
    <row r="59" ht="15.75" customHeight="1" s="279">
      <c r="A59" s="295" t="n"/>
      <c r="B59" s="417" t="n"/>
      <c r="C59" s="433" t="n"/>
      <c r="D59" s="418" t="n"/>
      <c r="E59" s="418" t="n"/>
      <c r="F59" s="418" t="n"/>
      <c r="G59" s="418" t="n"/>
      <c r="H59" s="418" t="n"/>
      <c r="I59" s="404">
        <f>SUM(E59:H59)</f>
        <v/>
      </c>
      <c r="J59" s="404" t="n"/>
      <c r="K59" s="404" t="n"/>
      <c r="L59" s="418" t="n"/>
      <c r="M59" s="458">
        <f>HYPERLINK("https://www.youtube.com/watch?v=gFdP6X4CyKU","Watch - Intro to DP - 1")</f>
        <v/>
      </c>
    </row>
    <row r="60" ht="15.75" customHeight="1" s="279">
      <c r="A60" s="295" t="n"/>
      <c r="B60" s="417" t="n"/>
      <c r="C60" s="433" t="n"/>
      <c r="D60" s="418" t="n"/>
      <c r="E60" s="418" t="n"/>
      <c r="F60" s="418" t="n"/>
      <c r="G60" s="418" t="n"/>
      <c r="H60" s="418" t="n"/>
      <c r="I60" s="404">
        <f>SUM(E60:H60)</f>
        <v/>
      </c>
      <c r="J60" s="404" t="n"/>
      <c r="K60" s="404" t="n"/>
      <c r="L60" s="418" t="n"/>
      <c r="M60" s="458">
        <f>HYPERLINK("https://www.youtube.com/watch?v=1j3srLj-C5Q","Watch - Intro to DP - 2")</f>
        <v/>
      </c>
    </row>
    <row r="61" ht="15.75" customHeight="1" s="279">
      <c r="A61" s="432" t="inlineStr">
        <is>
          <t>Vacations</t>
        </is>
      </c>
      <c r="B61" s="462">
        <f>HYPERLINK("http://codeforces.com/contest/699/problem/C","CF699-D2-C")</f>
        <v/>
      </c>
      <c r="C61" s="301" t="n"/>
      <c r="D61" s="295" t="n"/>
      <c r="E61" s="295" t="n"/>
      <c r="F61" s="295" t="n"/>
      <c r="G61" s="295" t="n"/>
      <c r="H61" s="418" t="n"/>
      <c r="I61" s="404">
        <f>SUM(E61:H61)</f>
        <v/>
      </c>
      <c r="J61" s="404" t="n"/>
      <c r="K61" s="404" t="inlineStr">
        <is>
          <t>NO</t>
        </is>
      </c>
      <c r="L61" s="295" t="n"/>
      <c r="M61" s="295" t="n"/>
    </row>
    <row r="62" ht="15.75" customHeight="1" s="279">
      <c r="A62" s="432" t="inlineStr">
        <is>
          <t>Woodcutters</t>
        </is>
      </c>
      <c r="B62" s="462">
        <f>HYPERLINK("http://codeforces.com/contest/545/problem/C","CF545-D2-C")</f>
        <v/>
      </c>
      <c r="C62" s="301" t="n"/>
      <c r="D62" s="295" t="n"/>
      <c r="E62" s="295" t="n"/>
      <c r="F62" s="295" t="n"/>
      <c r="G62" s="295" t="n"/>
      <c r="H62" s="418" t="n"/>
      <c r="I62" s="404">
        <f>SUM(E62:H62)</f>
        <v/>
      </c>
      <c r="J62" s="404" t="n"/>
      <c r="K62" s="404" t="n"/>
      <c r="L62" s="295" t="n"/>
      <c r="M62" s="295" t="n"/>
    </row>
    <row r="63" ht="15.75" customHeight="1" s="279">
      <c r="A63" s="432" t="inlineStr">
        <is>
          <t>Barcode</t>
        </is>
      </c>
      <c r="B63" s="462">
        <f>HYPERLINK("http://codeforces.com/contest/225/problem/C","CF225-D2-C")</f>
        <v/>
      </c>
      <c r="C63" s="433" t="inlineStr">
        <is>
          <t>ac</t>
        </is>
      </c>
      <c r="D63" s="418" t="n"/>
      <c r="E63" s="418" t="n"/>
      <c r="F63" s="418" t="n"/>
      <c r="G63" s="418" t="n"/>
      <c r="H63" s="418" t="n"/>
      <c r="I63" s="404">
        <f>SUM(E63:H63)</f>
        <v/>
      </c>
      <c r="J63" s="404" t="n"/>
      <c r="K63" s="404" t="n"/>
      <c r="L63" s="418" t="n"/>
      <c r="M63" s="419">
        <f>HYPERLINK("https://www.youtube.com/watch?v=O7Tja1S5IYQ","Video Solution - Dr Mostafa Saad")</f>
        <v/>
      </c>
    </row>
    <row r="64" ht="15.75" customHeight="1" s="279">
      <c r="A64" s="437" t="inlineStr">
        <is>
          <t>Continents</t>
        </is>
      </c>
      <c r="B64" s="438">
        <f>HYPERLINK("https://uva.onlinejudge.org/index.php?option=onlinejudge&amp;page=show_problem&amp;problem=2035","UVA 11094")</f>
        <v/>
      </c>
      <c r="C64" s="433" t="inlineStr">
        <is>
          <t>AC</t>
        </is>
      </c>
      <c r="D64" s="418" t="n">
        <v>6</v>
      </c>
      <c r="E64" s="418" t="n">
        <v>3</v>
      </c>
      <c r="F64" s="418" t="n">
        <v>3</v>
      </c>
      <c r="G64" s="418" t="n">
        <v>27</v>
      </c>
      <c r="H64" s="418" t="n">
        <v>70</v>
      </c>
      <c r="I64" s="404">
        <f>SUM(E64:H64)</f>
        <v/>
      </c>
      <c r="J64" s="404" t="n">
        <v>2.5</v>
      </c>
      <c r="K64" s="404" t="inlineStr">
        <is>
          <t>yes</t>
        </is>
      </c>
      <c r="L64" s="418" t="n"/>
      <c r="M64" s="467" t="inlineStr">
        <is>
          <t xml:space="preserve">READ THE PROBLEM STATEMENT AND DONT MAKE FALSE ASUMETIONS </t>
        </is>
      </c>
    </row>
    <row r="65" ht="23.25" customHeight="1" s="279">
      <c r="A65" s="437" t="inlineStr">
        <is>
          <t>Brownie Points</t>
        </is>
      </c>
      <c r="B65" s="438">
        <f>HYPERLINK("https://uva.onlinejudge.org/index.php?option=onlinejudge&amp;page=show_problem&amp;problem=1806","UVA 10865")</f>
        <v/>
      </c>
      <c r="C65" s="301" t="inlineStr">
        <is>
          <t>AC</t>
        </is>
      </c>
      <c r="D65" s="295" t="n">
        <v>1</v>
      </c>
      <c r="E65" s="295" t="n">
        <v>5</v>
      </c>
      <c r="F65" s="295" t="n">
        <v>15</v>
      </c>
      <c r="G65" s="295" t="n">
        <v>5</v>
      </c>
      <c r="H65" s="418" t="n"/>
      <c r="I65" s="404">
        <f>SUM(E65:H65)</f>
        <v/>
      </c>
      <c r="J65" s="404" t="n">
        <v>2</v>
      </c>
      <c r="K65" s="404" t="inlineStr">
        <is>
          <t>yes</t>
        </is>
      </c>
      <c r="L65" s="301" t="inlineStr">
        <is>
          <t>geometrt</t>
        </is>
      </c>
      <c r="M65" s="468" t="inlineStr">
        <is>
          <t xml:space="preserve">read THE PROBLEM STATEMENT AND DONT MAKE FALSE ASUMETIONS </t>
        </is>
      </c>
    </row>
    <row r="66" ht="15.75" customHeight="1" s="279">
      <c r="A66" s="437" t="inlineStr">
        <is>
          <t>Hanoi Tower</t>
        </is>
      </c>
      <c r="B66" s="438">
        <f>HYPERLINK("http://acm.timus.ru/problem.aspx?space=1&amp;num=1054","TIMUS 1054")</f>
        <v/>
      </c>
      <c r="C66" s="301" t="n"/>
      <c r="D66" s="295" t="n"/>
      <c r="E66" s="295" t="n"/>
      <c r="F66" s="295" t="n"/>
      <c r="G66" s="295" t="n"/>
      <c r="H66" s="418" t="n"/>
      <c r="I66" s="404">
        <f>SUM(E66:H66)</f>
        <v/>
      </c>
      <c r="J66" s="404" t="n"/>
      <c r="K66" s="404" t="n"/>
      <c r="L66" s="295" t="n"/>
      <c r="M66" s="419">
        <f>HYPERLINK("https://github.com/MeGaCrazy/CompetitiveProgramming/blob/9ebf16b4239c8f58c694f2ae22c8f07d1fa70864/Timus/TIMUS_1054.cpp","Sol")</f>
        <v/>
      </c>
    </row>
    <row r="67" ht="15.75" customHeight="1" s="279">
      <c r="A67" s="295" t="n"/>
      <c r="B67" s="417" t="n"/>
      <c r="C67" s="433" t="n"/>
      <c r="D67" s="418" t="n"/>
      <c r="E67" s="418" t="n"/>
      <c r="F67" s="418" t="n"/>
      <c r="G67" s="418" t="n"/>
      <c r="H67" s="418" t="n"/>
      <c r="I67" s="404">
        <f>SUM(E67:H67)</f>
        <v/>
      </c>
      <c r="J67" s="404" t="n"/>
      <c r="K67" s="404" t="n"/>
      <c r="L67" s="418" t="n"/>
      <c r="M67" s="295" t="n"/>
    </row>
    <row r="68" ht="15.75" customHeight="1" s="279">
      <c r="A68" s="304" t="inlineStr">
        <is>
          <t>Roma and Changing Signs</t>
        </is>
      </c>
      <c r="B68" s="327">
        <f>HYPERLINK("http://codeforces.com/contest/262/problem/B","CF262-D2-B")</f>
        <v/>
      </c>
      <c r="C68" s="433" t="inlineStr">
        <is>
          <t>AC</t>
        </is>
      </c>
      <c r="D68" s="418" t="n">
        <v>1</v>
      </c>
      <c r="E68" s="418" t="n">
        <v>2</v>
      </c>
      <c r="F68" s="418" t="n">
        <v>2</v>
      </c>
      <c r="G68" s="418" t="n">
        <v>10</v>
      </c>
      <c r="H68" s="418" t="n"/>
      <c r="I68" s="404">
        <f>SUM(E68:H68)</f>
        <v/>
      </c>
      <c r="J68" s="404" t="n">
        <v>2</v>
      </c>
      <c r="K68" s="404" t="inlineStr">
        <is>
          <t>yes</t>
        </is>
      </c>
      <c r="L68" s="433" t="inlineStr">
        <is>
          <t>math</t>
        </is>
      </c>
      <c r="M68" s="419">
        <f>HYPERLINK("https://www.youtube.com/watch?v=6Ic_MPWfhEg","Video Solution - Eng Mohamed Salah")</f>
        <v/>
      </c>
    </row>
    <row r="69" ht="23.25" customHeight="1" s="279">
      <c r="A69" s="304" t="inlineStr">
        <is>
          <t>Bear and Strings</t>
        </is>
      </c>
      <c r="B69" s="327">
        <f>HYPERLINK("http://codeforces.com/contest/385/problem/B","CF385-D2-B")</f>
        <v/>
      </c>
      <c r="C69" s="433" t="inlineStr">
        <is>
          <t>AC</t>
        </is>
      </c>
      <c r="D69" s="418" t="n">
        <v>1</v>
      </c>
      <c r="E69" s="418" t="n">
        <v>3</v>
      </c>
      <c r="F69" s="418" t="n">
        <v>7</v>
      </c>
      <c r="G69" s="418" t="n">
        <v>5</v>
      </c>
      <c r="H69" s="418" t="n"/>
      <c r="I69" s="404">
        <f>SUM(E69:H69)</f>
        <v/>
      </c>
      <c r="J69" s="404" t="n">
        <v>3</v>
      </c>
      <c r="K69" s="404" t="inlineStr">
        <is>
          <t>yes</t>
        </is>
      </c>
      <c r="L69" s="433" t="inlineStr">
        <is>
          <t>math,strings</t>
        </is>
      </c>
      <c r="M69" s="295" t="inlineStr">
        <is>
          <t>it was a bit of a struggele but i got it at the end</t>
        </is>
      </c>
    </row>
    <row r="70" ht="23.25" customHeight="1" s="279">
      <c r="A70" s="304" t="inlineStr">
        <is>
          <t>I.O.U.</t>
        </is>
      </c>
      <c r="B70" s="327">
        <f>HYPERLINK("http://codeforces.com/contest/376/problem/B","CF376-D2-B")</f>
        <v/>
      </c>
      <c r="C70" s="433" t="inlineStr">
        <is>
          <t>AC</t>
        </is>
      </c>
      <c r="D70" s="418" t="n">
        <v>3</v>
      </c>
      <c r="E70" s="418" t="n">
        <v>3</v>
      </c>
      <c r="F70" s="418" t="n">
        <v>3</v>
      </c>
      <c r="G70" s="418" t="n">
        <v>5</v>
      </c>
      <c r="H70" s="418" t="n"/>
      <c r="I70" s="404">
        <f>SUM(E70:H70)</f>
        <v/>
      </c>
      <c r="J70" s="404" t="n">
        <v>2</v>
      </c>
      <c r="K70" s="404" t="inlineStr">
        <is>
          <t>yes</t>
        </is>
      </c>
      <c r="L70" s="433" t="inlineStr">
        <is>
          <t>implemetnino</t>
        </is>
      </c>
      <c r="M70" s="464" t="inlineStr">
        <is>
          <t xml:space="preserve">dont forget to use i&lt;=n when one based indexing </t>
        </is>
      </c>
    </row>
    <row r="71" ht="23.25" customHeight="1" s="279">
      <c r="A71" s="304" t="inlineStr">
        <is>
          <t>Jeff and Periods</t>
        </is>
      </c>
      <c r="B71" s="327">
        <f>HYPERLINK("http://codeforces.com/contest/352/problem/B","CF352-D2-B")</f>
        <v/>
      </c>
      <c r="C71" s="433" t="inlineStr">
        <is>
          <t>AC</t>
        </is>
      </c>
      <c r="D71" s="418" t="n">
        <v>3</v>
      </c>
      <c r="E71" s="418" t="n">
        <v>4</v>
      </c>
      <c r="F71" s="418" t="n">
        <v>10</v>
      </c>
      <c r="G71" s="418" t="n">
        <v>15</v>
      </c>
      <c r="H71" s="418" t="n"/>
      <c r="I71" s="404">
        <f>SUM(E71:H71)</f>
        <v/>
      </c>
      <c r="J71" s="404" t="n">
        <v>2</v>
      </c>
      <c r="K71" s="404" t="inlineStr">
        <is>
          <t>yes</t>
        </is>
      </c>
      <c r="L71" s="433" t="inlineStr">
        <is>
          <t>implemetnino</t>
        </is>
      </c>
      <c r="M71" s="425" t="inlineStr">
        <is>
          <t xml:space="preserve">i kept looking at  wa test cases which is bad i should read the problem well and dont be hasty </t>
        </is>
      </c>
    </row>
    <row r="72" ht="23.25" customHeight="1" s="279">
      <c r="A72" s="304" t="inlineStr">
        <is>
          <t>Meeting</t>
        </is>
      </c>
      <c r="B72" s="327">
        <f>HYPERLINK("http://codeforces.com/contest/144/problem/B","CF144-D2-B")</f>
        <v/>
      </c>
      <c r="C72" s="433" t="inlineStr">
        <is>
          <t>AC</t>
        </is>
      </c>
      <c r="D72" s="418" t="n">
        <v>2</v>
      </c>
      <c r="E72" s="418" t="n">
        <v>6</v>
      </c>
      <c r="F72" s="418" t="n">
        <v>20</v>
      </c>
      <c r="G72" s="418" t="n">
        <v>10</v>
      </c>
      <c r="H72" s="418" t="n"/>
      <c r="I72" s="404">
        <f>SUM(E72:H72)</f>
        <v/>
      </c>
      <c r="J72" s="404" t="n">
        <v>2</v>
      </c>
      <c r="K72" s="404" t="inlineStr">
        <is>
          <t>hind</t>
        </is>
      </c>
      <c r="L72" s="433" t="inlineStr">
        <is>
          <t>implemetnino</t>
        </is>
      </c>
      <c r="M72" s="425" t="inlineStr">
        <is>
          <t>stumbeld upon a basic thing and spent a lot of time in it</t>
        </is>
      </c>
    </row>
    <row r="73" ht="15.75" customHeight="1" s="279">
      <c r="A73" s="304" t="inlineStr">
        <is>
          <t>Chocolate</t>
        </is>
      </c>
      <c r="B73" s="327">
        <f>HYPERLINK("http://codeforces.com/contest/617/problem/B","CF617-D2-B")</f>
        <v/>
      </c>
      <c r="C73" s="433" t="inlineStr">
        <is>
          <t>AC</t>
        </is>
      </c>
      <c r="D73" s="418" t="n">
        <v>2</v>
      </c>
      <c r="E73" s="418" t="n">
        <v>2</v>
      </c>
      <c r="F73" s="418" t="n">
        <v>2</v>
      </c>
      <c r="G73" s="418" t="n">
        <v>4</v>
      </c>
      <c r="H73" s="418" t="n">
        <v>2</v>
      </c>
      <c r="I73" s="404">
        <f>SUM(E73:H73)</f>
        <v/>
      </c>
      <c r="J73" s="404" t="n"/>
      <c r="K73" s="404" t="inlineStr">
        <is>
          <t>yes</t>
        </is>
      </c>
      <c r="L73" s="433" t="inlineStr">
        <is>
          <t>math</t>
        </is>
      </c>
      <c r="M73" s="425" t="inlineStr">
        <is>
          <t>i am stupid i still need to make some assumetions dont forget edge cases</t>
        </is>
      </c>
    </row>
    <row r="74" ht="15.75" customHeight="1" s="279">
      <c r="A74" s="304" t="inlineStr">
        <is>
          <t>Easy Number Challenge</t>
        </is>
      </c>
      <c r="B74" s="327">
        <f>HYPERLINK("http://codeforces.com/contest/236/problem/B","CF236-D2-B")</f>
        <v/>
      </c>
      <c r="C74" s="433" t="inlineStr">
        <is>
          <t>AC</t>
        </is>
      </c>
      <c r="D74" s="418" t="n">
        <v>1</v>
      </c>
      <c r="E74" s="418" t="n">
        <v>5</v>
      </c>
      <c r="F74" s="418" t="n">
        <v>20</v>
      </c>
      <c r="G74" s="418" t="n">
        <v>10</v>
      </c>
      <c r="H74" s="418" t="n"/>
      <c r="I74" s="404">
        <f>SUM(E74:H74)</f>
        <v/>
      </c>
      <c r="J74" s="404" t="n">
        <v>2</v>
      </c>
      <c r="K74" s="404" t="inlineStr">
        <is>
          <t>yes</t>
        </is>
      </c>
      <c r="L74" s="433" t="inlineStr">
        <is>
          <t>math</t>
        </is>
      </c>
      <c r="M74" s="425" t="inlineStr">
        <is>
          <t>used the prime seive algo but there is an eaizer and better sol</t>
        </is>
      </c>
    </row>
    <row r="75" ht="15.75" customHeight="1" s="279">
      <c r="A75" s="295" t="inlineStr">
        <is>
          <t>Han Solo and Lazer Gun</t>
        </is>
      </c>
      <c r="B75" s="417">
        <f>HYPERLINK("http://codeforces.com/contest/514/problem/B","CF514-D2-B")</f>
        <v/>
      </c>
      <c r="C75" s="301" t="inlineStr">
        <is>
          <t>AC</t>
        </is>
      </c>
      <c r="D75" s="295" t="n">
        <v>1</v>
      </c>
      <c r="E75" s="295" t="n">
        <v>3</v>
      </c>
      <c r="F75" s="295" t="n">
        <v>10</v>
      </c>
      <c r="G75" s="295" t="n">
        <v>20</v>
      </c>
      <c r="H75" s="418" t="n"/>
      <c r="I75" s="404">
        <f>SUM(E75:H75)</f>
        <v/>
      </c>
      <c r="J75" s="404" t="n">
        <v>2</v>
      </c>
      <c r="K75" s="404" t="inlineStr">
        <is>
          <t>nah</t>
        </is>
      </c>
      <c r="L75" s="301" t="inlineStr">
        <is>
          <t>math</t>
        </is>
      </c>
      <c r="M75" s="425" t="inlineStr">
        <is>
          <t>it is not hard i was just lazy</t>
        </is>
      </c>
    </row>
    <row r="76" ht="23.25" customHeight="1" s="279">
      <c r="A76" s="295" t="inlineStr">
        <is>
          <t>Physics Practical</t>
        </is>
      </c>
      <c r="B76" s="417">
        <f>HYPERLINK("http://codeforces.com/contest/253/problem/B","CF253-D2-B")</f>
        <v/>
      </c>
      <c r="C76" s="301" t="inlineStr">
        <is>
          <t>AC</t>
        </is>
      </c>
      <c r="D76" s="295" t="n">
        <v>2</v>
      </c>
      <c r="E76" s="295" t="n">
        <v>3</v>
      </c>
      <c r="F76" s="295" t="n">
        <v>10</v>
      </c>
      <c r="G76" s="295" t="n">
        <v>20</v>
      </c>
      <c r="H76" s="418" t="n"/>
      <c r="I76" s="404">
        <f>SUM(E76:H76)</f>
        <v/>
      </c>
      <c r="J76" s="404" t="n">
        <v>2</v>
      </c>
      <c r="K76" s="404" t="inlineStr">
        <is>
          <t>yes</t>
        </is>
      </c>
      <c r="L76" s="301" t="inlineStr">
        <is>
          <t>binary search</t>
        </is>
      </c>
      <c r="M76" s="425" t="inlineStr">
        <is>
          <t>good binary search sol i was thinking of it but afraid to implemetn</t>
        </is>
      </c>
    </row>
    <row r="77" ht="15.75" customHeight="1" s="279">
      <c r="A77" s="467" t="inlineStr">
        <is>
          <t>Two Buttons</t>
        </is>
      </c>
      <c r="B77" s="440">
        <f>HYPERLINK("http://codeforces.com/contest/520/problem/B","CF520-D2-B")</f>
        <v/>
      </c>
      <c r="C77" s="467" t="n"/>
      <c r="D77" s="467" t="n"/>
      <c r="E77" s="467" t="n"/>
      <c r="F77" s="467" t="n"/>
      <c r="G77" s="467" t="n"/>
      <c r="H77" s="469" t="n"/>
      <c r="I77" s="470">
        <f>SUM(E77:H77)</f>
        <v/>
      </c>
      <c r="J77" s="470" t="n"/>
      <c r="K77" s="470" t="n"/>
      <c r="L77" s="467" t="n"/>
      <c r="M77" s="471">
        <f>HYPERLINK("https://www.youtube.com/watch?v=tMsOxSRU4Sk","Video Solution - Solver to be (Java)")</f>
        <v/>
      </c>
    </row>
    <row r="78" ht="15.75" customHeight="1" s="279">
      <c r="A78" s="295" t="n"/>
      <c r="B78" s="417" t="n"/>
      <c r="C78" s="301" t="n"/>
      <c r="D78" s="295" t="n"/>
      <c r="E78" s="295" t="n"/>
      <c r="F78" s="295" t="n"/>
      <c r="G78" s="295" t="n"/>
      <c r="H78" s="418" t="n"/>
      <c r="I78" s="404">
        <f>SUM(E78:H78)</f>
        <v/>
      </c>
      <c r="J78" s="404" t="n"/>
      <c r="K78" s="404" t="n"/>
      <c r="L78" s="418" t="n"/>
      <c r="M78" s="458" t="n"/>
    </row>
    <row r="79" ht="15.75" customHeight="1" s="279">
      <c r="A79" s="295" t="n"/>
      <c r="B79" s="417" t="n"/>
      <c r="C79" s="433" t="n"/>
      <c r="D79" s="418" t="n"/>
      <c r="E79" s="418" t="n"/>
      <c r="F79" s="418" t="n"/>
      <c r="G79" s="418" t="n"/>
      <c r="H79" s="418" t="n"/>
      <c r="I79" s="404">
        <f>SUM(E79:H79)</f>
        <v/>
      </c>
      <c r="J79" s="404" t="n"/>
      <c r="K79" s="404" t="n"/>
      <c r="L79" s="418" t="n"/>
      <c r="M79" s="458">
        <f>HYPERLINK("https://www.youtube.com/watch?v=dcMtSmWHLP4","Watch - Computational Geometry - Complex Number and 2D Point")</f>
        <v/>
      </c>
    </row>
    <row r="80" ht="15.75" customHeight="1" s="279">
      <c r="A80" s="295" t="n"/>
      <c r="B80" s="417" t="n"/>
      <c r="C80" s="433" t="n"/>
      <c r="D80" s="418" t="n"/>
      <c r="E80" s="418" t="n"/>
      <c r="F80" s="418" t="n"/>
      <c r="G80" s="418" t="n"/>
      <c r="H80" s="418" t="n"/>
      <c r="I80" s="404">
        <f>SUM(E80:H80)</f>
        <v/>
      </c>
      <c r="J80" s="404" t="n"/>
      <c r="K80" s="404" t="n"/>
      <c r="L80" s="418" t="n"/>
      <c r="M80" s="458">
        <f>HYPERLINK("https://www.youtube.com/watch?v=1Vi2h7dKdEQ","Watch - Computational Geometry - Lines and Distances")</f>
        <v/>
      </c>
    </row>
    <row r="81" ht="15.75" customHeight="1" s="279">
      <c r="A81" s="432" t="inlineStr">
        <is>
          <t>Intersecting Lines</t>
        </is>
      </c>
      <c r="B81" s="462">
        <f>HYPERLINK("https://uva.onlinejudge.org/index.php?option=com_onlinejudge&amp;Itemid=8&amp;page=show_problem&amp;problem=314","UVA 378")</f>
        <v/>
      </c>
      <c r="C81" s="433" t="n"/>
      <c r="D81" s="418" t="n"/>
      <c r="E81" s="418" t="n"/>
      <c r="F81" s="418" t="n"/>
      <c r="G81" s="418" t="n"/>
      <c r="H81" s="418" t="n"/>
      <c r="I81" s="404">
        <f>SUM(E81:H81)</f>
        <v/>
      </c>
      <c r="J81" s="404" t="n"/>
      <c r="K81" s="404" t="n"/>
      <c r="L81" s="418" t="n"/>
      <c r="M81" s="295" t="n"/>
    </row>
    <row r="82" ht="15.75" customHeight="1" s="279">
      <c r="A82" s="437" t="inlineStr">
        <is>
          <t>The Stern-Brocot Number</t>
        </is>
      </c>
      <c r="B82" s="438">
        <f>HYPERLINK("https://uva.onlinejudge.org/index.php?option=com_onlinejudge&amp;Itemid=8&amp;page=show_problem&amp;problem=1018","UVA 10077")</f>
        <v/>
      </c>
      <c r="C82" s="433" t="n"/>
      <c r="D82" s="418" t="n"/>
      <c r="E82" s="418" t="n"/>
      <c r="F82" s="418" t="n"/>
      <c r="G82" s="418" t="n"/>
      <c r="H82" s="418" t="n"/>
      <c r="I82" s="404">
        <f>SUM(E82:H82)</f>
        <v/>
      </c>
      <c r="J82" s="404" t="n"/>
      <c r="K82" s="404" t="n"/>
      <c r="L82" s="418" t="n"/>
      <c r="M82" s="295" t="n"/>
    </row>
    <row r="83" ht="15.75" customHeight="1" s="279">
      <c r="A83" s="437" t="inlineStr">
        <is>
          <t>Mr. Kitayuta's Colorful Graph</t>
        </is>
      </c>
      <c r="B83" s="438">
        <f>HYPERLINK("http://codeforces.com/contest/505/problem/B","CF505-D2-B")</f>
        <v/>
      </c>
      <c r="C83" s="433" t="n"/>
      <c r="D83" s="418" t="n"/>
      <c r="E83" s="418" t="n"/>
      <c r="F83" s="418" t="n"/>
      <c r="G83" s="418" t="n"/>
      <c r="H83" s="418" t="n"/>
      <c r="I83" s="404">
        <f>SUM(E83:H83)</f>
        <v/>
      </c>
      <c r="J83" s="295" t="n"/>
      <c r="K83" s="295" t="n"/>
      <c r="L83" s="295" t="n"/>
      <c r="M83" s="419">
        <f>HYPERLINK("https://www.youtube.com/watch?v=4516VTXcDJM&amp;feature=youtu.be","Video Solution - Eng Muntaser Abukadeja")</f>
        <v/>
      </c>
    </row>
    <row r="84" ht="15.75" customHeight="1" s="279">
      <c r="A84" s="295" t="n"/>
      <c r="B84" s="417" t="n"/>
      <c r="C84" s="433" t="n"/>
      <c r="D84" s="418" t="n"/>
      <c r="E84" s="418" t="n"/>
      <c r="F84" s="418" t="n"/>
      <c r="G84" s="418" t="n"/>
      <c r="H84" s="418" t="n"/>
      <c r="I84" s="404">
        <f>SUM(E84:H84)</f>
        <v/>
      </c>
      <c r="J84" s="404" t="n"/>
      <c r="K84" s="404" t="n"/>
      <c r="L84" s="418" t="n"/>
      <c r="M84" s="295" t="n"/>
    </row>
    <row r="85" ht="15.75" customHeight="1" s="279">
      <c r="A85" s="304" t="inlineStr">
        <is>
          <t>DZY Loves Chemistry</t>
        </is>
      </c>
      <c r="B85" s="327">
        <f>HYPERLINK("http://codeforces.com/contest/445/problem/B","CF445-D2-B")</f>
        <v/>
      </c>
      <c r="C85" s="433" t="inlineStr">
        <is>
          <t>AC</t>
        </is>
      </c>
      <c r="D85" s="418" t="n">
        <v>4</v>
      </c>
      <c r="E85" s="418" t="n"/>
      <c r="F85" s="418" t="n"/>
      <c r="G85" s="418" t="n"/>
      <c r="H85" s="418" t="n"/>
      <c r="I85" s="404">
        <f>SUM(E85:H85)</f>
        <v/>
      </c>
      <c r="J85" s="404" t="n">
        <v>4</v>
      </c>
      <c r="K85" s="404" t="inlineStr">
        <is>
          <t>hint</t>
        </is>
      </c>
      <c r="L85" s="433" t="inlineStr">
        <is>
          <t>dfs</t>
        </is>
      </c>
      <c r="M85" s="417" t="inlineStr">
        <is>
          <t>Video Solution - Eng Hussein Hesham</t>
        </is>
      </c>
    </row>
    <row r="86" ht="15.75" customHeight="1" s="279">
      <c r="A86" s="304" t="inlineStr">
        <is>
          <t>Kolya and Tanya</t>
        </is>
      </c>
      <c r="B86" s="327">
        <f>HYPERLINK("http://codeforces.com/contest/584/problem/B","CF584-D2-B")</f>
        <v/>
      </c>
      <c r="C86" s="433" t="inlineStr">
        <is>
          <t>ac</t>
        </is>
      </c>
      <c r="D86" s="418" t="n">
        <v>1</v>
      </c>
      <c r="E86" s="418" t="n">
        <v>2</v>
      </c>
      <c r="F86" s="418" t="n">
        <v>10</v>
      </c>
      <c r="G86" s="418" t="n">
        <v>1</v>
      </c>
      <c r="H86" s="418" t="n"/>
      <c r="I86" s="404">
        <f>SUM(E86:H86)</f>
        <v/>
      </c>
      <c r="J86" s="404" t="n">
        <v>3</v>
      </c>
      <c r="K86" s="404" t="inlineStr">
        <is>
          <t>yes</t>
        </is>
      </c>
      <c r="L86" s="433" t="inlineStr">
        <is>
          <t>math</t>
        </is>
      </c>
      <c r="M86" s="425" t="inlineStr">
        <is>
          <t xml:space="preserve">i like math </t>
        </is>
      </c>
    </row>
    <row r="87" ht="15.75" customHeight="1" s="279">
      <c r="A87" s="304" t="inlineStr">
        <is>
          <t>Suffix Structures</t>
        </is>
      </c>
      <c r="B87" s="327">
        <f>HYPERLINK("http://codeforces.com/contest/448/problem/B","CF448-D2-B")</f>
        <v/>
      </c>
      <c r="C87" s="433" t="n"/>
      <c r="D87" s="418" t="n"/>
      <c r="E87" s="418" t="n"/>
      <c r="F87" s="418" t="n"/>
      <c r="G87" s="418" t="n"/>
      <c r="H87" s="418" t="n"/>
      <c r="I87" s="404">
        <f>SUM(E87:H87)</f>
        <v/>
      </c>
      <c r="J87" s="404" t="n"/>
      <c r="K87" s="404" t="n"/>
      <c r="L87" s="418" t="n"/>
      <c r="M87" s="419">
        <f>HYPERLINK("https://www.youtube.com/watch?v=-J0VaYdgbRc","Video Solution - Eng Mohamed Salah")</f>
        <v/>
      </c>
    </row>
    <row r="88" ht="23.25" customHeight="1" s="279">
      <c r="A88" s="304" t="inlineStr">
        <is>
          <t>Complete the Word</t>
        </is>
      </c>
      <c r="B88" s="327">
        <f>HYPERLINK("http://codeforces.com/contest/716/problem/B","CF716-D2-B")</f>
        <v/>
      </c>
      <c r="C88" s="433" t="inlineStr">
        <is>
          <t>AC</t>
        </is>
      </c>
      <c r="D88" s="418" t="n">
        <v>2</v>
      </c>
      <c r="E88" s="418" t="n">
        <v>3</v>
      </c>
      <c r="F88" s="418" t="n">
        <v>5</v>
      </c>
      <c r="G88" s="418" t="n">
        <v>10</v>
      </c>
      <c r="H88" s="418" t="n">
        <v>60</v>
      </c>
      <c r="I88" s="404">
        <f>SUM(E88:H88)</f>
        <v/>
      </c>
      <c r="J88" s="404" t="n">
        <v>2</v>
      </c>
      <c r="K88" s="404" t="inlineStr">
        <is>
          <t>yes</t>
        </is>
      </c>
      <c r="L88" s="433" t="inlineStr">
        <is>
          <t>2p , strings</t>
        </is>
      </c>
      <c r="M88" s="425" t="inlineStr">
        <is>
          <t>was not too focused on the question</t>
        </is>
      </c>
    </row>
    <row r="89" ht="15.75" customHeight="1" s="279">
      <c r="A89" s="304" t="inlineStr">
        <is>
          <t>Sea and Islands</t>
        </is>
      </c>
      <c r="B89" s="327">
        <f>HYPERLINK("http://codeforces.com/contest/544/problem/B","CF544-D2-B")</f>
        <v/>
      </c>
      <c r="C89" s="433" t="inlineStr">
        <is>
          <t>ac</t>
        </is>
      </c>
      <c r="D89" s="418" t="n">
        <v>2</v>
      </c>
      <c r="E89" s="418" t="n">
        <v>3</v>
      </c>
      <c r="F89" s="418" t="n">
        <v>4</v>
      </c>
      <c r="G89" s="418" t="n">
        <v>4</v>
      </c>
      <c r="H89" s="418" t="n"/>
      <c r="I89" s="404">
        <f>SUM(E89:H89)</f>
        <v/>
      </c>
      <c r="J89" s="404" t="n"/>
      <c r="K89" s="404" t="n"/>
      <c r="L89" s="433" t="inlineStr">
        <is>
          <t>adhoc</t>
        </is>
      </c>
      <c r="M89" s="419">
        <f>HYPERLINK("https://www.youtube.com/watch?v=7MC9PFQTlxs","Video Solution - Eng Mohamed Salah")</f>
        <v/>
      </c>
    </row>
    <row r="90" ht="15.75" customHeight="1" s="279">
      <c r="A90" s="295" t="inlineStr">
        <is>
          <t>Hopscotch</t>
        </is>
      </c>
      <c r="B90" s="417">
        <f>HYPERLINK("http://codeforces.com/contest/141/problem/B","CF141-D2-B")</f>
        <v/>
      </c>
      <c r="C90" s="301" t="inlineStr">
        <is>
          <t>AC</t>
        </is>
      </c>
      <c r="D90" s="295" t="n"/>
      <c r="E90" s="295" t="n">
        <v>3</v>
      </c>
      <c r="F90" s="295" t="n">
        <v>20</v>
      </c>
      <c r="G90" s="295" t="n">
        <v>10</v>
      </c>
      <c r="H90" s="418" t="n"/>
      <c r="I90" s="404">
        <f>SUM(E90:H90)</f>
        <v/>
      </c>
      <c r="J90" s="404" t="n"/>
      <c r="K90" s="404" t="n"/>
      <c r="L90" s="301" t="inlineStr">
        <is>
          <t>math</t>
        </is>
      </c>
      <c r="M90" s="419">
        <f>HYPERLINK("https://www.youtube.com/watch?v=edI2c3Myaek&amp;feature=youtu.be","Video Solution - Eng Yahia Ashraf")</f>
        <v/>
      </c>
    </row>
    <row r="91" ht="15.75" customHeight="1" s="279">
      <c r="A91" s="295" t="inlineStr">
        <is>
          <t>Valera and Contest</t>
        </is>
      </c>
      <c r="B91" s="417">
        <f>HYPERLINK("http://codeforces.com/contest/369/problem/B","CF369-D2-B")</f>
        <v/>
      </c>
      <c r="C91" s="301" t="n"/>
      <c r="D91" s="295" t="n"/>
      <c r="E91" s="295" t="n"/>
      <c r="F91" s="295" t="n"/>
      <c r="G91" s="295" t="n"/>
      <c r="H91" s="418" t="n"/>
      <c r="I91" s="404">
        <f>SUM(E91:H91)</f>
        <v/>
      </c>
      <c r="J91" s="404" t="n"/>
      <c r="K91" s="404" t="n"/>
      <c r="L91" s="295" t="n"/>
      <c r="M91" s="419">
        <f>HYPERLINK("https://www.youtube.com/watch?v=1CHX-WYiQvA","Video Solution - Eng Yahia Ashraf")</f>
        <v/>
      </c>
    </row>
    <row r="92" ht="15.75" customHeight="1" s="279">
      <c r="A92" s="295" t="inlineStr">
        <is>
          <t>Bear and Friendship Condition</t>
        </is>
      </c>
      <c r="B92" s="417">
        <f>HYPERLINK("http://codeforces.com/contest/791/problem/B","CF791-D2-B")</f>
        <v/>
      </c>
      <c r="C92" s="404" t="n"/>
      <c r="D92" s="404" t="n"/>
      <c r="E92" s="404" t="n"/>
      <c r="F92" s="404" t="n"/>
      <c r="G92" s="404" t="n"/>
      <c r="H92" s="404" t="n"/>
      <c r="I92" s="404">
        <f>SUM(E92:H92)</f>
        <v/>
      </c>
      <c r="J92" s="404" t="n"/>
      <c r="K92" s="404" t="n"/>
      <c r="L92" s="404" t="n"/>
      <c r="M92" s="419">
        <f>HYPERLINK("https://www.youtube.com/watch?v=3tVJoeUE0Ag&amp;feature=youtu.be","Video Solution - Eng Mohamed Salah")</f>
        <v/>
      </c>
    </row>
    <row r="93" ht="15.75" customHeight="1" s="279">
      <c r="A93" s="420" t="inlineStr">
        <is>
          <t>Preparing Olympiad</t>
        </is>
      </c>
      <c r="B93" s="421">
        <f>HYPERLINK("http://codeforces.com/contest/550/problem/B","CF550-D2-B")</f>
        <v/>
      </c>
      <c r="C93" s="404" t="n"/>
      <c r="D93" s="404" t="n"/>
      <c r="E93" s="404" t="n"/>
      <c r="F93" s="404" t="n"/>
      <c r="G93" s="404" t="n"/>
      <c r="H93" s="404" t="n"/>
      <c r="I93" s="404">
        <f>SUM(E93:H93)</f>
        <v/>
      </c>
      <c r="J93" s="404" t="n"/>
      <c r="K93" s="404" t="n"/>
      <c r="L93" s="404" t="n"/>
      <c r="M93" s="453">
        <f>HYPERLINK("https://www.youtube.com/watch?v=o5fKByvQguE","Video Solution - SolverToBe (Java)")</f>
        <v/>
      </c>
    </row>
    <row r="94" ht="15.75" customHeight="1" s="279">
      <c r="A94" s="295" t="n"/>
      <c r="B94" s="417" t="n"/>
      <c r="C94" s="301" t="n"/>
      <c r="D94" s="295" t="n"/>
      <c r="E94" s="295" t="n"/>
      <c r="F94" s="295" t="n"/>
      <c r="G94" s="295" t="n"/>
      <c r="H94" s="418" t="n"/>
      <c r="I94" s="404">
        <f>SUM(E94:H94)</f>
        <v/>
      </c>
      <c r="J94" s="404" t="n"/>
      <c r="K94" s="404" t="n"/>
      <c r="L94" s="418" t="n"/>
      <c r="M94" s="458" t="n"/>
    </row>
    <row r="95" ht="15.75" customHeight="1" s="279">
      <c r="A95" s="295" t="n"/>
      <c r="B95" s="417" t="n"/>
      <c r="C95" s="301" t="n"/>
      <c r="D95" s="295" t="n"/>
      <c r="E95" s="295" t="n"/>
      <c r="F95" s="295" t="n"/>
      <c r="G95" s="295" t="n"/>
      <c r="H95" s="418" t="n"/>
      <c r="I95" s="404">
        <f>SUM(E95:H95)</f>
        <v/>
      </c>
      <c r="J95" s="404" t="n"/>
      <c r="K95" s="404" t="n"/>
      <c r="L95" s="418" t="n"/>
      <c r="M95" s="424">
        <f>HYPERLINK("https://www.youtube.com/watch?v=WTr12dK2Se0","Watch - Focused and Diffused Thinking")</f>
        <v/>
      </c>
    </row>
    <row r="96" ht="15.75" customHeight="1" s="279">
      <c r="A96" s="295" t="n"/>
      <c r="B96" s="417" t="n"/>
      <c r="C96" s="301" t="n"/>
      <c r="D96" s="295" t="n"/>
      <c r="E96" s="295" t="n"/>
      <c r="F96" s="295" t="n"/>
      <c r="G96" s="295" t="n"/>
      <c r="H96" s="418" t="n"/>
      <c r="I96" s="404">
        <f>SUM(E96:H96)</f>
        <v/>
      </c>
      <c r="J96" s="404" t="n"/>
      <c r="K96" s="404" t="n"/>
      <c r="L96" s="418" t="n"/>
      <c r="M96" s="458">
        <f>HYPERLINK("https://www.youtube.com/watch?v=tcQky6O1em8","Watch - Graph Theory - MST - Prime")</f>
        <v/>
      </c>
    </row>
    <row r="97" ht="15.75" customHeight="1" s="279">
      <c r="A97" s="295" t="n"/>
      <c r="B97" s="417" t="n"/>
      <c r="C97" s="301" t="n"/>
      <c r="D97" s="295" t="n"/>
      <c r="E97" s="295" t="n"/>
      <c r="F97" s="295" t="n"/>
      <c r="G97" s="295" t="n"/>
      <c r="H97" s="418" t="n"/>
      <c r="I97" s="404">
        <f>SUM(E97:H97)</f>
        <v/>
      </c>
      <c r="J97" s="404" t="n"/>
      <c r="K97" s="404" t="n"/>
      <c r="L97" s="418" t="n"/>
      <c r="M97" s="458">
        <f>HYPERLINK("https://www.youtube.com/watch?v=HQ5ANfzSDn0","Watch - Graph Theory - MST - Kruskal")</f>
        <v/>
      </c>
    </row>
    <row r="98" ht="15.75" customHeight="1" s="279">
      <c r="A98" s="432" t="inlineStr">
        <is>
          <t>Highways</t>
        </is>
      </c>
      <c r="B98" s="462">
        <f>HYPERLINK("https://uva.onlinejudge.org/index.php?option=com_onlinejudge&amp;Itemid=8&amp;page=show_problem&amp;problem=1088","UVA 10147")</f>
        <v/>
      </c>
      <c r="C98" s="433" t="n"/>
      <c r="D98" s="418" t="n"/>
      <c r="E98" s="418" t="n"/>
      <c r="F98" s="418" t="n"/>
      <c r="G98" s="418" t="n"/>
      <c r="H98" s="418" t="n"/>
      <c r="I98" s="404">
        <f>SUM(E98:H98)</f>
        <v/>
      </c>
      <c r="J98" s="404" t="n"/>
      <c r="K98" s="404" t="n"/>
      <c r="L98" s="418" t="n"/>
      <c r="M98" s="419">
        <f>HYPERLINK("https://www.youtube.com/watch?v=yNkLz4OVXtI","Video Solution - Eng Mahmoud Adel")</f>
        <v/>
      </c>
    </row>
    <row r="99" ht="15.75" customHeight="1" s="279">
      <c r="A99" s="432" t="inlineStr">
        <is>
          <t>ACM contest and Blackout</t>
        </is>
      </c>
      <c r="B99" s="462">
        <f>HYPERLINK("https://uva.onlinejudge.org/index.php?option=com_onlinejudge&amp;Itemid=8&amp;page=show_problem&amp;problem=1541","UVA 10600")</f>
        <v/>
      </c>
      <c r="C99" s="433" t="n"/>
      <c r="D99" s="418" t="n"/>
      <c r="E99" s="418" t="n"/>
      <c r="F99" s="418" t="n"/>
      <c r="G99" s="418" t="n"/>
      <c r="H99" s="418" t="n"/>
      <c r="I99" s="404">
        <f>SUM(E99:H99)</f>
        <v/>
      </c>
      <c r="J99" s="404" t="n"/>
      <c r="K99" s="404" t="n"/>
      <c r="L99" s="418" t="n"/>
      <c r="M99" s="419">
        <f>HYPERLINK("https://www.youtube.com/watch?v=94EApxauQQE&amp;feature=youtu.be","Video Solution - Eng Moaz Rashad")</f>
        <v/>
      </c>
    </row>
    <row r="100" ht="15.75" customHeight="1" s="279">
      <c r="A100" s="432" t="inlineStr">
        <is>
          <t>Virtual Friends</t>
        </is>
      </c>
      <c r="B100" s="462">
        <f>HYPERLINK("https://uva.onlinejudge.org/index.php?option=onlinejudge&amp;page=show_problem&amp;problem=2498","UVA 11503")</f>
        <v/>
      </c>
      <c r="C100" s="433" t="n"/>
      <c r="D100" s="418" t="n"/>
      <c r="E100" s="418" t="n"/>
      <c r="F100" s="418" t="n"/>
      <c r="G100" s="418" t="n"/>
      <c r="H100" s="418" t="n"/>
      <c r="I100" s="404">
        <f>SUM(E100:H100)</f>
        <v/>
      </c>
      <c r="J100" s="404" t="n"/>
      <c r="K100" s="404" t="n"/>
      <c r="L100" s="418" t="n"/>
      <c r="M100" s="419">
        <f>HYPERLINK("https://www.youtube.com/watch?v=kO_XbOt1drc","Video Solution - Eng Moaz Rashad")</f>
        <v/>
      </c>
    </row>
    <row r="101" ht="15.75" customHeight="1" s="279">
      <c r="A101" s="432" t="inlineStr">
        <is>
          <t>Arctic Network</t>
        </is>
      </c>
      <c r="B101" s="462">
        <f>HYPERLINK("https://uva.onlinejudge.org/index.php?option=com_onlinejudge&amp;Itemid=8&amp;page=show_problem&amp;problem=1310","UVA 10369")</f>
        <v/>
      </c>
      <c r="C101" s="433" t="n"/>
      <c r="D101" s="418" t="n"/>
      <c r="E101" s="418" t="n"/>
      <c r="F101" s="418" t="n"/>
      <c r="G101" s="418" t="n"/>
      <c r="H101" s="418" t="n"/>
      <c r="I101" s="439">
        <f>SUM(E101:H101)</f>
        <v/>
      </c>
      <c r="J101" s="404" t="n"/>
      <c r="K101" s="404" t="n"/>
      <c r="L101" s="418" t="n"/>
      <c r="M101" s="295" t="n"/>
    </row>
    <row r="102" ht="15.75" customHeight="1" s="279">
      <c r="A102" s="437" t="inlineStr">
        <is>
          <t>Trees on the level</t>
        </is>
      </c>
      <c r="B102" s="438">
        <f>HYPERLINK("https://uva.onlinejudge.org/index.php?option=com_onlinejudge&amp;Itemid=8&amp;page=show_problem&amp;problem=58","UVA 122")</f>
        <v/>
      </c>
      <c r="C102" s="404" t="n"/>
      <c r="D102" s="404" t="n"/>
      <c r="E102" s="404" t="n"/>
      <c r="F102" s="404" t="n"/>
      <c r="G102" s="404" t="n"/>
      <c r="H102" s="404" t="n"/>
      <c r="I102" s="404">
        <f>SUM(E102:H102)</f>
        <v/>
      </c>
      <c r="J102" s="404" t="n"/>
      <c r="K102" s="404" t="n"/>
      <c r="L102" s="404" t="n"/>
      <c r="M102" s="453">
        <f>HYPERLINK("https://www.youtube.com/watch?v=b6D-7cqN2jM","Video Solution - SolverToBe (Java)")</f>
        <v/>
      </c>
    </row>
    <row r="103" ht="15.75" customHeight="1" s="279">
      <c r="A103" s="437" t="inlineStr">
        <is>
          <t>Final Standings</t>
        </is>
      </c>
      <c r="B103" s="438">
        <f>HYPERLINK("http://acm.timus.ru/problem.aspx?space=1&amp;num=1100","TIMUS 1100")</f>
        <v/>
      </c>
      <c r="C103" s="404" t="n"/>
      <c r="D103" s="404" t="n"/>
      <c r="E103" s="404" t="n"/>
      <c r="F103" s="404" t="n"/>
      <c r="G103" s="404" t="n"/>
      <c r="H103" s="404" t="n"/>
      <c r="I103" s="404">
        <f>SUM(E103:H103)</f>
        <v/>
      </c>
      <c r="J103" s="404" t="n"/>
      <c r="K103" s="404" t="n"/>
      <c r="L103" s="404" t="n"/>
      <c r="M103" s="453">
        <f>HYPERLINK("https://github.com/marioyc/Online-Judge-Solutions/blob/master/Timus%20Online%20Judge/1100%20-%20Final%20Standings.cpp","Stable sort exercise")</f>
        <v/>
      </c>
    </row>
    <row r="104" ht="15.75" customHeight="1" s="279">
      <c r="A104" s="437" t="inlineStr">
        <is>
          <t>Farm</t>
        </is>
      </c>
      <c r="B104" s="438">
        <f>HYPERLINK("http://acm.timus.ru/problem.aspx?space=1&amp;num=1349","TIMUS 1349")</f>
        <v/>
      </c>
      <c r="C104" s="404" t="n"/>
      <c r="D104" s="404" t="n"/>
      <c r="E104" s="404" t="n"/>
      <c r="F104" s="404" t="n"/>
      <c r="G104" s="404" t="n"/>
      <c r="H104" s="404" t="n"/>
      <c r="I104" s="404">
        <f>SUM(E104:H104)</f>
        <v/>
      </c>
      <c r="J104" s="404" t="n"/>
      <c r="K104" s="404" t="n"/>
      <c r="L104" s="404" t="n"/>
      <c r="M104" s="453">
        <f>HYPERLINK("http://xoptutorials.com/index.php/2017/01/01/timus1349/","Learn Fermat’s Last Theorem")</f>
        <v/>
      </c>
    </row>
    <row r="105" ht="15.75" customHeight="1" s="279">
      <c r="A105" s="295" t="n"/>
      <c r="B105" s="417" t="n"/>
      <c r="C105" s="433" t="n"/>
      <c r="D105" s="418" t="n"/>
      <c r="E105" s="418" t="n"/>
      <c r="F105" s="418" t="n"/>
      <c r="G105" s="418" t="n"/>
      <c r="H105" s="418" t="n"/>
      <c r="I105" s="404">
        <f>SUM(E105:H105)</f>
        <v/>
      </c>
      <c r="J105" s="404" t="n"/>
      <c r="K105" s="404" t="n"/>
      <c r="L105" s="418" t="n"/>
      <c r="M105" s="295" t="n"/>
    </row>
    <row r="106" ht="15.75" customHeight="1" s="279">
      <c r="A106" s="304" t="inlineStr">
        <is>
          <t>Mashmokh and Tokens</t>
        </is>
      </c>
      <c r="B106" s="327">
        <f>HYPERLINK("http://codeforces.com/contest/415/problem/B","CF415-D2-B")</f>
        <v/>
      </c>
      <c r="C106" s="433" t="n"/>
      <c r="D106" s="418" t="n"/>
      <c r="E106" s="418" t="n"/>
      <c r="F106" s="418" t="n"/>
      <c r="G106" s="418" t="n"/>
      <c r="H106" s="418" t="n"/>
      <c r="I106" s="404">
        <f>SUM(E106:H106)</f>
        <v/>
      </c>
      <c r="J106" s="404" t="n"/>
      <c r="K106" s="404" t="n"/>
      <c r="L106" s="418" t="n"/>
      <c r="M106" s="419">
        <f>HYPERLINK("https://www.youtube.com/watch?v=ZNxSTHmpLGc&amp;feature=youtu.be","Video Solution - Eng Salma Yehia")</f>
        <v/>
      </c>
    </row>
    <row r="107" ht="15.75" customHeight="1" s="279">
      <c r="A107" s="304" t="inlineStr">
        <is>
          <t>Approximating a Constant Range</t>
        </is>
      </c>
      <c r="B107" s="327">
        <f>HYPERLINK("http://codeforces.com/contest/602/problem/B","CF602-D2-B")</f>
        <v/>
      </c>
      <c r="C107" s="433" t="n"/>
      <c r="D107" s="418" t="n"/>
      <c r="E107" s="418" t="n"/>
      <c r="F107" s="418" t="n"/>
      <c r="G107" s="418" t="n"/>
      <c r="H107" s="418" t="n"/>
      <c r="I107" s="404">
        <f>SUM(E107:H107)</f>
        <v/>
      </c>
      <c r="J107" s="404" t="n"/>
      <c r="K107" s="404" t="n"/>
      <c r="L107" s="418" t="n"/>
      <c r="M107" s="419">
        <f>HYPERLINK("https://www.youtube.com/watch?v=g93nX3rLVuk#_=_","Video Solution - Eng Salma Yehia")</f>
        <v/>
      </c>
    </row>
    <row r="108" ht="15.75" customHeight="1" s="279">
      <c r="A108" s="304" t="inlineStr">
        <is>
          <t>Gena's Code</t>
        </is>
      </c>
      <c r="B108" s="327">
        <f>HYPERLINK("http://codeforces.com/contest/614/problem/B","CF614-D2-B")</f>
        <v/>
      </c>
      <c r="C108" s="433" t="n"/>
      <c r="D108" s="418" t="n"/>
      <c r="E108" s="418" t="n"/>
      <c r="F108" s="418" t="n"/>
      <c r="G108" s="418" t="n"/>
      <c r="H108" s="418" t="n"/>
      <c r="I108" s="404">
        <f>SUM(E108:H108)</f>
        <v/>
      </c>
      <c r="J108" s="404" t="n"/>
      <c r="K108" s="404" t="n"/>
      <c r="L108" s="418" t="n"/>
      <c r="M108" s="472" t="inlineStr">
        <is>
          <t>Video Solution - Eng Khaled Mohamed</t>
        </is>
      </c>
    </row>
    <row r="109" ht="15.75" customHeight="1" s="279">
      <c r="A109" s="304" t="inlineStr">
        <is>
          <t>OR in Matrix</t>
        </is>
      </c>
      <c r="B109" s="473" t="inlineStr">
        <is>
          <t xml:space="preserve">Video Solution - Eng Mohamed Khaled </t>
        </is>
      </c>
      <c r="C109" s="433" t="n"/>
      <c r="D109" s="418" t="n"/>
      <c r="E109" s="418" t="n"/>
      <c r="F109" s="418" t="n"/>
      <c r="G109" s="418" t="n"/>
      <c r="H109" s="418" t="n"/>
      <c r="I109" s="404">
        <f>SUM(E109:H109)</f>
        <v/>
      </c>
      <c r="J109" s="404" t="n"/>
      <c r="K109" s="404" t="n"/>
      <c r="L109" s="418" t="n"/>
      <c r="M109" s="472" t="inlineStr">
        <is>
          <t xml:space="preserve">Video Solution - Eng Mohamed Khaled </t>
        </is>
      </c>
    </row>
    <row r="110" ht="15.75" customHeight="1" s="279">
      <c r="A110" s="304" t="inlineStr">
        <is>
          <t>Fox And Two Dots</t>
        </is>
      </c>
      <c r="B110" s="327">
        <f>HYPERLINK("http://codeforces.com/contest/510/problem/B","CF510-D2-B")</f>
        <v/>
      </c>
      <c r="C110" s="433" t="n"/>
      <c r="D110" s="418" t="n"/>
      <c r="E110" s="418" t="n"/>
      <c r="F110" s="418" t="n"/>
      <c r="G110" s="418" t="n"/>
      <c r="H110" s="418" t="n"/>
      <c r="I110" s="404">
        <f>SUM(E110:H110)</f>
        <v/>
      </c>
      <c r="J110" s="404" t="n"/>
      <c r="K110" s="404" t="n"/>
      <c r="L110" s="418" t="n"/>
      <c r="M110" s="474">
        <f>HYPERLINK("https://www.youtube.com/watch?v=LHIZzMjnG0k&amp;feature=youtu.be","Video Solution - Eng Mohamed Adel")</f>
        <v/>
      </c>
    </row>
    <row r="111" ht="15.75" customHeight="1" s="279">
      <c r="A111" s="304" t="inlineStr">
        <is>
          <t>Routine Problem</t>
        </is>
      </c>
      <c r="B111" s="327">
        <f>HYPERLINK("http://codeforces.com/contest/337/problem/B","CF337-D2-B")</f>
        <v/>
      </c>
      <c r="C111" s="433" t="n"/>
      <c r="D111" s="418" t="n"/>
      <c r="E111" s="418" t="n"/>
      <c r="F111" s="418" t="n"/>
      <c r="G111" s="418" t="n"/>
      <c r="H111" s="418" t="n"/>
      <c r="I111" s="404">
        <f>SUM(E111:H111)</f>
        <v/>
      </c>
      <c r="J111" s="404" t="n"/>
      <c r="K111" s="404" t="n"/>
      <c r="L111" s="418" t="n"/>
      <c r="M111" s="474">
        <f>HYPERLINK("https://www.youtube.com/watch?v=NaB4pnNbXEY","Video Solution - Eng Mohamed Adel")</f>
        <v/>
      </c>
    </row>
    <row r="112" ht="15" customHeight="1" s="279">
      <c r="A112" s="304" t="inlineStr">
        <is>
          <t>Vasya and Wrestling</t>
        </is>
      </c>
      <c r="B112" s="327">
        <f>HYPERLINK("http://codeforces.com/contest/493/problem/B","CF493-D2-B")</f>
        <v/>
      </c>
      <c r="C112" s="433" t="n"/>
      <c r="D112" s="418" t="n"/>
      <c r="E112" s="418" t="n"/>
      <c r="F112" s="418" t="n"/>
      <c r="G112" s="418" t="n"/>
      <c r="H112" s="418" t="n"/>
      <c r="I112" s="404">
        <f>SUM(E112:H112)</f>
        <v/>
      </c>
      <c r="J112" s="404" t="n"/>
      <c r="K112" s="404" t="n"/>
      <c r="L112" s="418" t="n"/>
      <c r="M112" s="472" t="inlineStr">
        <is>
          <t xml:space="preserve">Video Solution - Eng Mohamed Khaled </t>
        </is>
      </c>
    </row>
    <row r="113" ht="15.75" customHeight="1" s="279">
      <c r="A113" s="304" t="inlineStr">
        <is>
          <t>Hamming Distance Sum</t>
        </is>
      </c>
      <c r="B113" s="327">
        <f>HYPERLINK("http://codeforces.com/contest/608/problem/B","CF608-D2-B")</f>
        <v/>
      </c>
      <c r="C113" s="433" t="n"/>
      <c r="D113" s="418" t="n"/>
      <c r="E113" s="418" t="n"/>
      <c r="F113" s="418" t="n"/>
      <c r="G113" s="418" t="n"/>
      <c r="H113" s="418" t="n"/>
      <c r="I113" s="404">
        <f>SUM(E113:H113)</f>
        <v/>
      </c>
      <c r="J113" s="404" t="n"/>
      <c r="K113" s="404" t="n"/>
      <c r="L113" s="418" t="n"/>
      <c r="M113" s="472" t="inlineStr">
        <is>
          <t xml:space="preserve">Video Solution - Eng Mohamed Khaled </t>
        </is>
      </c>
    </row>
    <row r="114" ht="15.75" customHeight="1" s="279">
      <c r="A114" s="295" t="inlineStr">
        <is>
          <t>Wet Shark and Bishops</t>
        </is>
      </c>
      <c r="B114" s="417">
        <f>HYPERLINK("http://codeforces.com/contest/621/problem/B","CF621-D2-B")</f>
        <v/>
      </c>
      <c r="C114" s="301" t="n"/>
      <c r="D114" s="295" t="n"/>
      <c r="E114" s="295" t="n"/>
      <c r="F114" s="295" t="n"/>
      <c r="G114" s="295" t="n"/>
      <c r="H114" s="418" t="n"/>
      <c r="I114" s="404">
        <f>SUM(E114:H114)</f>
        <v/>
      </c>
      <c r="J114" s="404" t="n"/>
      <c r="K114" s="404" t="n"/>
      <c r="L114" s="295" t="n"/>
      <c r="M114" s="475">
        <f>HYPERLINK("https://www.youtube.com/watch?v=zKne2u4DuIs&amp;feature=youtu.be","Video Solution - Eng Mahmoud Mabrok")</f>
        <v/>
      </c>
    </row>
    <row r="115" ht="15.75" customHeight="1" s="279">
      <c r="A115" s="304" t="inlineStr">
        <is>
          <t>Kefa and Company</t>
        </is>
      </c>
      <c r="B115" s="327">
        <f>HYPERLINK("http://codeforces.com/contest/580/problem/B","CF580-D2-B")</f>
        <v/>
      </c>
      <c r="C115" s="433" t="n"/>
      <c r="D115" s="418" t="n"/>
      <c r="E115" s="418" t="n"/>
      <c r="F115" s="418" t="n"/>
      <c r="G115" s="418" t="n"/>
      <c r="H115" s="418" t="n"/>
      <c r="I115" s="404">
        <f>SUM(E115:H115)</f>
        <v/>
      </c>
      <c r="J115" s="404" t="n"/>
      <c r="K115" s="404" t="n"/>
      <c r="L115" s="418" t="n"/>
      <c r="M115" s="453">
        <f>HYPERLINK("https://www.youtube.com/watch?v=kUXDNSkFECM","Video Solution - SolverToBe (Java)")</f>
        <v/>
      </c>
    </row>
    <row r="116" ht="15.75" customHeight="1" s="279">
      <c r="A116" s="295" t="inlineStr">
        <is>
          <t>Tavas and SaDDas</t>
        </is>
      </c>
      <c r="B116" s="417">
        <f>HYPERLINK("http://codeforces.com/contest/535/problem/B","CF535-D2-B")</f>
        <v/>
      </c>
      <c r="C116" s="301" t="n"/>
      <c r="D116" s="295" t="n"/>
      <c r="E116" s="295" t="n"/>
      <c r="F116" s="295" t="n"/>
      <c r="G116" s="295" t="n"/>
      <c r="H116" s="295" t="n"/>
      <c r="I116" s="418">
        <f>SUM(E116:H116)</f>
        <v/>
      </c>
      <c r="J116" s="295" t="n"/>
      <c r="K116" s="295" t="n"/>
      <c r="L116" s="295" t="n"/>
      <c r="M116" s="419">
        <f>HYPERLINK("https://www.youtube.com/watch?v=NPVp5BntYZ4","Video Solution - Eng Abanob Ashraf")</f>
        <v/>
      </c>
    </row>
    <row r="117" ht="15.75" customHeight="1" s="279">
      <c r="A117" s="295" t="n"/>
      <c r="B117" s="417" t="n"/>
      <c r="C117" s="301" t="n"/>
      <c r="D117" s="295" t="n"/>
      <c r="E117" s="295" t="n"/>
      <c r="F117" s="295" t="n"/>
      <c r="G117" s="295" t="n"/>
      <c r="H117" s="295" t="n"/>
      <c r="I117" s="418">
        <f>SUM(E117:H117)</f>
        <v/>
      </c>
      <c r="J117" s="295" t="n"/>
      <c r="K117" s="295" t="n"/>
      <c r="L117" s="295" t="n"/>
      <c r="M117" s="295" t="n"/>
    </row>
    <row r="118" ht="23.25" customHeight="1" s="279">
      <c r="A118" s="295" t="inlineStr">
        <is>
          <t>Minimum Ternary String</t>
        </is>
      </c>
      <c r="B118" s="417">
        <f>HYPERLINK("http://codeforces.com/contest/1009/problem/B","CF1009-D12-B")</f>
        <v/>
      </c>
      <c r="C118" s="301" t="inlineStr">
        <is>
          <t>AC</t>
        </is>
      </c>
      <c r="D118" s="295" t="n">
        <v>3</v>
      </c>
      <c r="E118" s="295" t="n">
        <v>1</v>
      </c>
      <c r="F118" s="295" t="n">
        <v>2</v>
      </c>
      <c r="G118" s="295" t="n">
        <v>4</v>
      </c>
      <c r="H118" s="295" t="n">
        <v>20</v>
      </c>
      <c r="I118" s="418">
        <f>SUM(E118:H118)</f>
        <v/>
      </c>
      <c r="J118" s="295" t="n"/>
      <c r="K118" s="301" t="inlineStr">
        <is>
          <t>implemtion</t>
        </is>
      </c>
      <c r="L118" s="295" t="n"/>
      <c r="M118" s="425" t="inlineStr">
        <is>
          <t>fun question i need to think more and dont be hasty</t>
        </is>
      </c>
    </row>
    <row r="119" ht="15.75" customHeight="1" s="279">
      <c r="A119" s="295" t="n"/>
      <c r="B119" s="453">
        <f>HYPERLINK("https://codeforces.com/contest/1030/problem/B","CF1030-D12-B")</f>
        <v/>
      </c>
      <c r="C119" s="301" t="inlineStr">
        <is>
          <t>CS</t>
        </is>
      </c>
      <c r="D119" s="295" t="n">
        <v>0</v>
      </c>
      <c r="E119" s="295" t="n">
        <v>2</v>
      </c>
      <c r="F119" s="295" t="n">
        <v>21</v>
      </c>
      <c r="G119" s="295" t="n"/>
      <c r="H119" s="295" t="n"/>
      <c r="I119" s="418">
        <f>SUM(E119:H119)</f>
        <v/>
      </c>
      <c r="J119" s="295" t="n"/>
      <c r="K119" s="295" t="n"/>
      <c r="L119" s="295" t="n"/>
      <c r="M119" s="295" t="n"/>
    </row>
    <row r="120" ht="15.75" customHeight="1" s="279">
      <c r="A120" s="295" t="n"/>
      <c r="B120" s="453">
        <f>HYPERLINK("https://codeforces.com/contest/1051/problem/B", "CF1051-D2-B")</f>
        <v/>
      </c>
      <c r="C120" s="301" t="n"/>
      <c r="D120" s="295" t="n"/>
      <c r="E120" s="295" t="n"/>
      <c r="F120" s="295" t="n"/>
      <c r="G120" s="295" t="n"/>
      <c r="H120" s="295" t="n"/>
      <c r="I120" s="418">
        <f>SUM(E120:H120)</f>
        <v/>
      </c>
      <c r="J120" s="295" t="n"/>
      <c r="K120" s="295" t="n"/>
      <c r="L120" s="295" t="n"/>
      <c r="M120" s="295" t="n"/>
    </row>
    <row r="121" ht="15.75" customHeight="1" s="279">
      <c r="A121" s="295" t="n"/>
      <c r="B121" s="453">
        <f>HYPERLINK("https://codeforces.com/contest/1237/problem/B","CF1237-D12-B")</f>
        <v/>
      </c>
      <c r="C121" s="301" t="n"/>
      <c r="D121" s="295" t="n"/>
      <c r="E121" s="295" t="n"/>
      <c r="F121" s="295" t="n"/>
      <c r="G121" s="295" t="n"/>
      <c r="H121" s="295" t="n"/>
      <c r="I121" s="418">
        <f>SUM(E121:H121)</f>
        <v/>
      </c>
      <c r="J121" s="295" t="n"/>
      <c r="K121" s="295" t="n"/>
      <c r="L121" s="295" t="n"/>
      <c r="M121" s="295" t="n"/>
    </row>
    <row r="122" ht="15.75" customHeight="1" s="279">
      <c r="A122" s="295" t="n"/>
      <c r="B122" s="295" t="n"/>
      <c r="C122" s="301" t="n"/>
      <c r="D122" s="295" t="n"/>
      <c r="E122" s="295" t="n"/>
      <c r="F122" s="295" t="n"/>
      <c r="G122" s="295" t="n"/>
      <c r="H122" s="418" t="n"/>
      <c r="I122" s="404">
        <f>SUM(E122:H122)</f>
        <v/>
      </c>
      <c r="J122" s="404" t="n"/>
      <c r="K122" s="404" t="n"/>
      <c r="L122" s="295" t="n"/>
      <c r="M122" s="458" t="n"/>
    </row>
    <row r="123" ht="15.75" customHeight="1" s="279">
      <c r="A123" s="295" t="n"/>
      <c r="B123" s="295" t="n"/>
      <c r="C123" s="301" t="n"/>
      <c r="D123" s="295" t="n"/>
      <c r="E123" s="295" t="n"/>
      <c r="F123" s="295" t="n"/>
      <c r="G123" s="295" t="n"/>
      <c r="H123" s="418" t="n"/>
      <c r="I123" s="404">
        <f>SUM(E123:H123)</f>
        <v/>
      </c>
      <c r="J123" s="404" t="n"/>
      <c r="K123" s="404" t="n"/>
      <c r="L123" s="295" t="n"/>
      <c r="M123" s="458">
        <f>HYPERLINK("https://www.youtube.com/watch?v=iXxP_liQklk","Watch - Intro to Greedy")</f>
        <v/>
      </c>
    </row>
    <row r="124" ht="15.75" customHeight="1" s="279">
      <c r="A124" s="432" t="inlineStr">
        <is>
          <t>Painting Eggs</t>
        </is>
      </c>
      <c r="B124" s="462">
        <f>HYPERLINK("http://codeforces.com/contest/282/problem/B","CF282-D2-B")</f>
        <v/>
      </c>
      <c r="C124" s="301" t="inlineStr">
        <is>
          <t>ac</t>
        </is>
      </c>
      <c r="D124" s="295" t="n">
        <v>2</v>
      </c>
      <c r="E124" s="295" t="n">
        <v>2</v>
      </c>
      <c r="F124" s="295" t="n">
        <v>6</v>
      </c>
      <c r="G124" s="295" t="n">
        <v>7</v>
      </c>
      <c r="H124" s="418" t="n"/>
      <c r="I124" s="404">
        <f>SUM(E124:H124)</f>
        <v/>
      </c>
      <c r="J124" s="404" t="n"/>
      <c r="K124" s="404" t="n"/>
      <c r="L124" s="295" t="n"/>
      <c r="M124" s="301" t="inlineStr">
        <is>
          <t>i know the soultion but cant prove it</t>
        </is>
      </c>
    </row>
    <row r="125" ht="15.75" customHeight="1" s="279">
      <c r="A125" s="432" t="inlineStr">
        <is>
          <t>Pasha Maximizes</t>
        </is>
      </c>
      <c r="B125" s="462">
        <f>HYPERLINK("http://codeforces.com/contest/435/problem/B","CF435-D2-B")</f>
        <v/>
      </c>
      <c r="C125" s="301" t="inlineStr">
        <is>
          <t>ac</t>
        </is>
      </c>
      <c r="D125" s="295" t="n">
        <v>3</v>
      </c>
      <c r="E125" s="295" t="n">
        <v>1</v>
      </c>
      <c r="F125" s="295" t="n">
        <v>2</v>
      </c>
      <c r="G125" s="295" t="n">
        <v>20</v>
      </c>
      <c r="H125" s="418" t="n"/>
      <c r="I125" s="404">
        <f>SUM(E125:H125)</f>
        <v/>
      </c>
      <c r="J125" s="404" t="n"/>
      <c r="K125" s="404" t="n"/>
      <c r="L125" s="295" t="n"/>
      <c r="M125" s="425" t="inlineStr">
        <is>
          <t>i know the idea but too lazy to write it</t>
        </is>
      </c>
    </row>
    <row r="126" ht="15.75" customHeight="1" s="279">
      <c r="A126" s="432" t="inlineStr">
        <is>
          <t>Little Girl and Game</t>
        </is>
      </c>
      <c r="B126" s="462">
        <f>HYPERLINK("http://codeforces.com/contest/276/problem/B","CF276-D2-B")</f>
        <v/>
      </c>
      <c r="C126" s="301" t="inlineStr">
        <is>
          <t>ac</t>
        </is>
      </c>
      <c r="D126" s="295" t="n">
        <v>2</v>
      </c>
      <c r="E126" s="295" t="n">
        <v>1</v>
      </c>
      <c r="F126" s="295" t="n">
        <v>5</v>
      </c>
      <c r="G126" s="295" t="n">
        <v>10</v>
      </c>
      <c r="H126" s="418" t="n"/>
      <c r="I126" s="404">
        <f>SUM(E126:H126)</f>
        <v/>
      </c>
      <c r="J126" s="404" t="n"/>
      <c r="K126" s="404" t="n"/>
      <c r="L126" s="295" t="n"/>
      <c r="M126" s="419">
        <f>HYPERLINK("https://www.youtube.com/watch?v=WrpG_n0SrbY&amp;feature=youtu.be","Video Solution - Eng Hossam Yehia")</f>
        <v/>
      </c>
    </row>
    <row r="127" ht="15.75" customHeight="1" s="279">
      <c r="A127" s="432" t="inlineStr">
        <is>
          <t>Pasha and String</t>
        </is>
      </c>
      <c r="B127" s="462">
        <f>HYPERLINK("http://codeforces.com/contest/525/problem/B","CF525-D2-B")</f>
        <v/>
      </c>
      <c r="C127" s="301" t="inlineStr">
        <is>
          <t>ac</t>
        </is>
      </c>
      <c r="D127" s="295" t="n">
        <v>1</v>
      </c>
      <c r="E127" s="295" t="n">
        <v>3</v>
      </c>
      <c r="F127" s="295" t="n">
        <v>7</v>
      </c>
      <c r="G127" s="295" t="n">
        <v>5</v>
      </c>
      <c r="H127" s="418" t="n"/>
      <c r="I127" s="404">
        <f>SUM(E127:H127)</f>
        <v/>
      </c>
      <c r="J127" s="404" t="n"/>
      <c r="K127" s="404" t="n"/>
      <c r="L127" s="295" t="n"/>
      <c r="M127" s="419">
        <f>HYPERLINK("https://www.youtube.com/watch?v=NPVp5BntYZ4","Video Solution - Eng Hossam Yehia")</f>
        <v/>
      </c>
    </row>
    <row r="128" ht="45.75" customHeight="1" s="279">
      <c r="A128" s="432" t="inlineStr">
        <is>
          <t>Booking System</t>
        </is>
      </c>
      <c r="B128" s="316">
        <f>HYPERLINK("http://codeforces.com/contest/416/problem/C","CF416-D2-C")</f>
        <v/>
      </c>
      <c r="C128" s="301" t="inlineStr">
        <is>
          <t>ac</t>
        </is>
      </c>
      <c r="D128" s="295" t="n">
        <v>3</v>
      </c>
      <c r="E128" s="295" t="n">
        <v>4</v>
      </c>
      <c r="F128" s="295" t="n">
        <v>8</v>
      </c>
      <c r="G128" s="295" t="n">
        <v>40</v>
      </c>
      <c r="H128" s="418" t="n">
        <v>5</v>
      </c>
      <c r="I128" s="404">
        <f>SUM(E128:H128)</f>
        <v/>
      </c>
      <c r="J128" s="404" t="n"/>
      <c r="K128" s="404" t="inlineStr">
        <is>
          <t>yes</t>
        </is>
      </c>
      <c r="L128" s="301" t="inlineStr">
        <is>
          <t>binray search ,bf</t>
        </is>
      </c>
      <c r="M128" s="301" t="inlineStr">
        <is>
          <t xml:space="preserve">first thought of seg tree spent about half an hour trying to make it realize segtree is very complicated there must be a simpler aproach just read statement again constrains are very small i hate myself, also the wrong answer were due to a lot of typos </t>
        </is>
      </c>
    </row>
    <row r="129" ht="23.25" customHeight="1" s="279">
      <c r="A129" s="432" t="inlineStr">
        <is>
          <t>Vanya and Exams</t>
        </is>
      </c>
      <c r="B129" s="316">
        <f>HYPERLINK("http://codeforces.com/contest/492/problem/C","CF492-D2-C")</f>
        <v/>
      </c>
      <c r="C129" s="301" t="inlineStr">
        <is>
          <t>ac</t>
        </is>
      </c>
      <c r="D129" s="295" t="n">
        <v>2</v>
      </c>
      <c r="E129" s="295" t="n">
        <v>2</v>
      </c>
      <c r="F129" s="295" t="n">
        <v>6</v>
      </c>
      <c r="G129" s="295" t="n">
        <v>10</v>
      </c>
      <c r="H129" s="418" t="n"/>
      <c r="I129" s="404">
        <f>SUM(E129:H129)</f>
        <v/>
      </c>
      <c r="J129" s="404" t="n"/>
      <c r="K129" s="404" t="inlineStr">
        <is>
          <t>yes</t>
        </is>
      </c>
      <c r="L129" s="301" t="inlineStr">
        <is>
          <t>sorting,greedt</t>
        </is>
      </c>
      <c r="M129" s="301" t="inlineStr">
        <is>
          <t>thought of dp at first well it dosent need too,i should think in a simpler way</t>
        </is>
      </c>
    </row>
    <row r="130" ht="15.75" customHeight="1" s="279">
      <c r="A130" s="437" t="inlineStr">
        <is>
          <t>The Skyline Problem</t>
        </is>
      </c>
      <c r="B130" s="438">
        <f>HYPERLINK("https://uva.onlinejudge.org/index.php?option=com_onlinejudge&amp;Itemid=8&amp;page=show_problem&amp;problem=41","UVA 105")</f>
        <v/>
      </c>
      <c r="C130" s="301" t="n"/>
      <c r="D130" s="295" t="n"/>
      <c r="E130" s="295" t="n"/>
      <c r="F130" s="295" t="n"/>
      <c r="G130" s="295" t="n"/>
      <c r="H130" s="418" t="n"/>
      <c r="I130" s="404">
        <f>SUM(E130:H130)</f>
        <v/>
      </c>
      <c r="J130" s="404" t="n"/>
      <c r="K130" s="404" t="n"/>
      <c r="L130" s="295" t="n"/>
      <c r="M130" s="295" t="n"/>
    </row>
    <row r="131" ht="15.75" customHeight="1" s="279">
      <c r="A131" s="437" t="inlineStr">
        <is>
          <t>Hanoi Tower Troubles !</t>
        </is>
      </c>
      <c r="B131" s="438">
        <f>HYPERLINK("https://uva.onlinejudge.org/index.php?option=onlinejudge&amp;page=show_problem&amp;problem=1217","UVA 10276")</f>
        <v/>
      </c>
      <c r="C131" s="433" t="n"/>
      <c r="D131" s="418" t="n"/>
      <c r="E131" s="418" t="n"/>
      <c r="F131" s="418" t="n"/>
      <c r="G131" s="418" t="n"/>
      <c r="H131" s="418" t="n"/>
      <c r="I131" s="404">
        <f>SUM(E131:H131)</f>
        <v/>
      </c>
      <c r="J131" s="404" t="n"/>
      <c r="K131" s="404" t="n"/>
      <c r="L131" s="418" t="n"/>
      <c r="M131" s="419">
        <f>HYPERLINK("https://www.youtube.com/watch?v=ygWfse3bBLI&amp;feature=youtu.be","Video Solution - Eng Mahmoud Adel")</f>
        <v/>
      </c>
    </row>
    <row r="132" ht="15.75" customHeight="1" s="279">
      <c r="A132" s="437" t="inlineStr">
        <is>
          <t>Maze Exploration</t>
        </is>
      </c>
      <c r="B132" s="438">
        <f>HYPERLINK("https://uva.onlinejudge.org/index.php?option=onlinejudge&amp;page=show_problem&amp;problem=725","UVA 784")</f>
        <v/>
      </c>
      <c r="C132" s="433" t="n"/>
      <c r="D132" s="418" t="n"/>
      <c r="E132" s="418" t="n"/>
      <c r="F132" s="418" t="n"/>
      <c r="G132" s="418" t="n"/>
      <c r="H132" s="418" t="n"/>
      <c r="I132" s="404">
        <f>SUM(E132:H132)</f>
        <v/>
      </c>
      <c r="J132" s="404" t="n"/>
      <c r="K132" s="404" t="n"/>
      <c r="L132" s="418" t="n"/>
      <c r="M132" s="419">
        <f>HYPERLINK("https://www.youtube.com/watch?v=khOAL6TflhE&amp;feature=youtu.be","Video Solution - Eng Mahmoud Adel")</f>
        <v/>
      </c>
    </row>
    <row r="133" ht="15.75" customHeight="1" s="279">
      <c r="A133" s="437" t="inlineStr">
        <is>
          <t>IP-TV</t>
        </is>
      </c>
      <c r="B133" s="317" t="inlineStr">
        <is>
          <t>UVA 1174</t>
        </is>
      </c>
      <c r="C133" s="433" t="n"/>
      <c r="D133" s="433" t="n"/>
      <c r="E133" s="418" t="n"/>
      <c r="F133" s="418" t="n"/>
      <c r="G133" s="418" t="n"/>
      <c r="H133" s="418" t="n"/>
      <c r="I133" s="439">
        <f>SUM(E133:H133)</f>
        <v/>
      </c>
      <c r="J133" s="404" t="n"/>
      <c r="K133" s="404" t="n"/>
      <c r="L133" s="418" t="n"/>
      <c r="M133" s="295" t="n"/>
    </row>
    <row r="134" ht="15.75" customHeight="1" s="279">
      <c r="A134" s="476" t="n"/>
      <c r="B134" s="476" t="n"/>
      <c r="C134" s="477" t="n"/>
      <c r="D134" s="477" t="n"/>
      <c r="E134" s="477" t="n"/>
      <c r="F134" s="477" t="n"/>
      <c r="G134" s="477" t="n"/>
      <c r="H134" s="477" t="n"/>
      <c r="I134" s="477">
        <f>SUM(E134:G134)</f>
        <v/>
      </c>
      <c r="J134" s="477" t="n"/>
      <c r="K134" s="477" t="n"/>
      <c r="L134" s="477" t="n"/>
      <c r="M134" s="476" t="n"/>
    </row>
    <row r="135" ht="23.25" customHeight="1" s="279">
      <c r="A135" s="295" t="n"/>
      <c r="B135" s="295" t="n"/>
      <c r="C135" s="418" t="n"/>
      <c r="D135" s="478" t="inlineStr">
        <is>
          <t>Optional Problems</t>
        </is>
      </c>
      <c r="H135" s="418" t="n"/>
      <c r="I135" s="418">
        <f>SUM(E135:G135)</f>
        <v/>
      </c>
      <c r="J135" s="479" t="inlineStr">
        <is>
          <t>You don't have to or encouraged to solve the next problem. If you felt you need so, try some of them. Or Proceed to next and solve in parallel, up to you.</t>
        </is>
      </c>
    </row>
    <row r="136" ht="15.75" customHeight="1" s="279">
      <c r="A136" s="476" t="n"/>
      <c r="B136" s="476" t="n"/>
      <c r="C136" s="477" t="n"/>
      <c r="D136" s="477" t="n"/>
      <c r="E136" s="477" t="n"/>
      <c r="F136" s="477" t="n"/>
      <c r="G136" s="477" t="n"/>
      <c r="H136" s="477" t="n"/>
      <c r="I136" s="477">
        <f>SUM(E136:G136)</f>
        <v/>
      </c>
      <c r="J136" s="477" t="n"/>
      <c r="K136" s="477" t="n"/>
      <c r="L136" s="477" t="n"/>
      <c r="M136" s="476" t="n"/>
    </row>
    <row r="137" ht="15.75" customHeight="1" s="279">
      <c r="A137" s="295" t="inlineStr">
        <is>
          <t>Devu, the Dumb Guy</t>
        </is>
      </c>
      <c r="B137" s="417">
        <f>HYPERLINK("http://codeforces.com/contest/439/problem/B","CF439-D2-B")</f>
        <v/>
      </c>
      <c r="C137" s="301" t="n"/>
      <c r="D137" s="295" t="n"/>
      <c r="E137" s="295" t="n"/>
      <c r="F137" s="295" t="n"/>
      <c r="G137" s="295" t="n"/>
      <c r="H137" s="295" t="n"/>
      <c r="I137" s="418">
        <f>SUM(E137:H137)</f>
        <v/>
      </c>
      <c r="J137" s="295" t="n"/>
      <c r="K137" s="295" t="n"/>
      <c r="L137" s="295" t="n"/>
      <c r="M137" s="417">
        <f>HYPERLINK("https://www.youtube.com/watch?v=KoGeW-vs7VY","Video Solution - Solver to be (Java)")</f>
        <v/>
      </c>
    </row>
    <row r="138" ht="15.75" customHeight="1" s="279">
      <c r="A138" s="295" t="inlineStr">
        <is>
          <t>Find The Bone</t>
        </is>
      </c>
      <c r="B138" s="417">
        <f>HYPERLINK("http://codeforces.com/contest/796/problem/B","CF796-D2-B")</f>
        <v/>
      </c>
      <c r="C138" s="301" t="n"/>
      <c r="D138" s="295" t="n"/>
      <c r="E138" s="295" t="n"/>
      <c r="F138" s="295" t="n"/>
      <c r="G138" s="295" t="n"/>
      <c r="H138" s="295" t="n"/>
      <c r="I138" s="418">
        <f>SUM(E138:H138)</f>
        <v/>
      </c>
      <c r="J138" s="295" t="n"/>
      <c r="K138" s="295" t="n"/>
      <c r="L138" s="295" t="n"/>
      <c r="M138" s="417">
        <f>HYPERLINK("https://www.youtube.com/watch?v=sLBLgccZ3CM","Video Solution - Solver to be (Java)")</f>
        <v/>
      </c>
    </row>
    <row r="139" ht="15.75" customHeight="1" s="279">
      <c r="A139" s="295" t="inlineStr">
        <is>
          <t>Regular Bracket Sequence</t>
        </is>
      </c>
      <c r="B139" s="417">
        <f>HYPERLINK("http://codeforces.com/contest/26/problem/B","CF26-D12-B")</f>
        <v/>
      </c>
      <c r="C139" s="301" t="n"/>
      <c r="D139" s="295" t="n"/>
      <c r="E139" s="295" t="n"/>
      <c r="F139" s="295" t="n"/>
      <c r="G139" s="295" t="n"/>
      <c r="H139" s="295" t="n"/>
      <c r="I139" s="418">
        <f>SUM(E139:H139)</f>
        <v/>
      </c>
      <c r="J139" s="295" t="n"/>
      <c r="K139" s="295" t="n"/>
      <c r="L139" s="295" t="n"/>
      <c r="M139" s="417">
        <f>HYPERLINK("https://www.youtube.com/watch?v=bz1ZEbzCFfU","Video Solution - Solver to be (Java)")</f>
        <v/>
      </c>
    </row>
    <row r="140" ht="15.75" customHeight="1" s="279">
      <c r="A140" s="304" t="inlineStr">
        <is>
          <t>Inbox (100500)</t>
        </is>
      </c>
      <c r="B140" s="327">
        <f>HYPERLINK("http://codeforces.com/contest/465/problem/B","CF465-D2-B")</f>
        <v/>
      </c>
      <c r="C140" s="433" t="n"/>
      <c r="D140" s="418" t="n"/>
      <c r="E140" s="418" t="n"/>
      <c r="F140" s="418" t="n"/>
      <c r="G140" s="418" t="n"/>
      <c r="H140" s="418" t="n"/>
      <c r="I140" s="404">
        <f>SUM(E140:H140)</f>
        <v/>
      </c>
      <c r="J140" s="404" t="n"/>
      <c r="K140" s="404" t="n"/>
      <c r="L140" s="418" t="n"/>
      <c r="M140" s="295" t="n"/>
    </row>
    <row r="141" ht="15.75" customHeight="1" s="279">
      <c r="A141" s="304" t="inlineStr">
        <is>
          <t>Different is Good</t>
        </is>
      </c>
      <c r="B141" s="327">
        <f>HYPERLINK("http://codeforces.com/contest/672/problem/B","CF672-D2-B")</f>
        <v/>
      </c>
      <c r="C141" s="433" t="n"/>
      <c r="D141" s="418" t="n"/>
      <c r="E141" s="418" t="n"/>
      <c r="F141" s="418" t="n"/>
      <c r="G141" s="418" t="n"/>
      <c r="H141" s="418" t="n"/>
      <c r="I141" s="404">
        <f>SUM(E141:H141)</f>
        <v/>
      </c>
      <c r="J141" s="404" t="n"/>
      <c r="K141" s="404" t="n"/>
      <c r="L141" s="418" t="n"/>
      <c r="M141" s="295" t="n"/>
    </row>
    <row r="142" ht="15.75" customHeight="1" s="279">
      <c r="A142" s="304" t="inlineStr">
        <is>
          <t>Permutation</t>
        </is>
      </c>
      <c r="B142" s="327">
        <f>HYPERLINK("http://codeforces.com/contest/137/problem/B","CF137-D2-B")</f>
        <v/>
      </c>
      <c r="C142" s="433" t="n"/>
      <c r="D142" s="418" t="n"/>
      <c r="E142" s="418" t="n"/>
      <c r="F142" s="418" t="n"/>
      <c r="G142" s="418" t="n"/>
      <c r="H142" s="418" t="n"/>
      <c r="I142" s="404">
        <f>SUM(E142:H142)</f>
        <v/>
      </c>
      <c r="J142" s="404" t="n"/>
      <c r="K142" s="404" t="n"/>
      <c r="L142" s="418" t="n"/>
      <c r="M142" s="295" t="n"/>
    </row>
    <row r="143" ht="15.75" customHeight="1" s="279">
      <c r="A143" s="304" t="inlineStr">
        <is>
          <t>Little Elephant and Magic Square</t>
        </is>
      </c>
      <c r="B143" s="327">
        <f>HYPERLINK("http://codeforces.com/contest/259/problem/B","CF259-D2-B")</f>
        <v/>
      </c>
      <c r="C143" s="433" t="n"/>
      <c r="D143" s="418" t="n"/>
      <c r="E143" s="418" t="n"/>
      <c r="F143" s="418" t="n"/>
      <c r="G143" s="418" t="n"/>
      <c r="H143" s="418" t="n"/>
      <c r="I143" s="404">
        <f>SUM(E143:H143)</f>
        <v/>
      </c>
      <c r="J143" s="404" t="n"/>
      <c r="K143" s="404" t="n"/>
      <c r="L143" s="418" t="n"/>
      <c r="M143" s="295" t="n"/>
    </row>
    <row r="144" ht="15.75" customHeight="1" s="279">
      <c r="A144" s="304" t="inlineStr">
        <is>
          <t>Airport</t>
        </is>
      </c>
      <c r="B144" s="327">
        <f>HYPERLINK("http://codeforces.com/contest/218/problem/B","CF218-D2-B")</f>
        <v/>
      </c>
      <c r="C144" s="433" t="n"/>
      <c r="D144" s="418" t="n"/>
      <c r="E144" s="418" t="n"/>
      <c r="F144" s="418" t="n"/>
      <c r="G144" s="418" t="n"/>
      <c r="H144" s="418" t="n"/>
      <c r="I144" s="404">
        <f>SUM(E144:H144)</f>
        <v/>
      </c>
      <c r="J144" s="404" t="n"/>
      <c r="K144" s="404" t="n"/>
      <c r="L144" s="418" t="n"/>
      <c r="M144" s="295" t="n"/>
    </row>
    <row r="145" ht="15.75" customHeight="1" s="279">
      <c r="A145" s="304" t="inlineStr">
        <is>
          <t>Cormen --- The Best Friend Of a Man</t>
        </is>
      </c>
      <c r="B145" s="327">
        <f>HYPERLINK("http://codeforces.com/contest/732/problem/B","CF732-D2-B")</f>
        <v/>
      </c>
      <c r="C145" s="433" t="n"/>
      <c r="D145" s="418" t="n"/>
      <c r="E145" s="418" t="n"/>
      <c r="F145" s="418" t="n"/>
      <c r="G145" s="418" t="n"/>
      <c r="H145" s="418" t="n"/>
      <c r="I145" s="404">
        <f>SUM(E145:H145)</f>
        <v/>
      </c>
      <c r="J145" s="404" t="n"/>
      <c r="K145" s="404" t="n"/>
      <c r="L145" s="418" t="n"/>
      <c r="M145" s="295" t="n"/>
    </row>
    <row r="146" ht="15.75" customHeight="1" s="279">
      <c r="A146" s="304" t="inlineStr">
        <is>
          <t>Prison Transfer</t>
        </is>
      </c>
      <c r="B146" s="327">
        <f>HYPERLINK("http://codeforces.com/contest/427/problem/B","CF427-D2-B")</f>
        <v/>
      </c>
      <c r="C146" s="433" t="n"/>
      <c r="D146" s="418" t="n"/>
      <c r="E146" s="418" t="n"/>
      <c r="F146" s="418" t="n"/>
      <c r="G146" s="418" t="n"/>
      <c r="H146" s="418" t="n"/>
      <c r="I146" s="404">
        <f>SUM(E146:H146)</f>
        <v/>
      </c>
      <c r="J146" s="404" t="n"/>
      <c r="K146" s="404" t="n"/>
      <c r="L146" s="418" t="n"/>
      <c r="M146" s="295" t="n"/>
    </row>
    <row r="147" ht="15.75" customHeight="1" s="279">
      <c r="A147" s="304" t="inlineStr">
        <is>
          <t>A and B and Compilation Errors</t>
        </is>
      </c>
      <c r="B147" s="327">
        <f>HYPERLINK("http://codeforces.com/contest/519/problem/B","CF519-D2-B")</f>
        <v/>
      </c>
      <c r="C147" s="433" t="n"/>
      <c r="D147" s="418" t="n"/>
      <c r="E147" s="418" t="n"/>
      <c r="F147" s="418" t="n"/>
      <c r="G147" s="418" t="n"/>
      <c r="H147" s="418" t="n"/>
      <c r="I147" s="404">
        <f>SUM(E147:H147)</f>
        <v/>
      </c>
      <c r="J147" s="404" t="n"/>
      <c r="K147" s="404" t="n"/>
      <c r="L147" s="418" t="n"/>
      <c r="M147" s="295" t="n"/>
    </row>
    <row r="148" ht="15.75" customHeight="1" s="279">
      <c r="A148" s="304" t="inlineStr">
        <is>
          <t>Letter</t>
        </is>
      </c>
      <c r="B148" s="327">
        <f>HYPERLINK("http://codeforces.com/contest/43/problem/B","CF43-D2-B")</f>
        <v/>
      </c>
      <c r="C148" s="433" t="n"/>
      <c r="D148" s="418" t="n"/>
      <c r="E148" s="418" t="n"/>
      <c r="F148" s="418" t="n"/>
      <c r="G148" s="418" t="n"/>
      <c r="H148" s="418" t="n"/>
      <c r="I148" s="404">
        <f>SUM(E148:H148)</f>
        <v/>
      </c>
      <c r="J148" s="404" t="n"/>
      <c r="K148" s="404" t="n"/>
      <c r="L148" s="418" t="n"/>
      <c r="M148" s="295" t="n"/>
    </row>
    <row r="149" ht="15.75" customHeight="1" s="279">
      <c r="A149" s="304" t="inlineStr">
        <is>
          <t>Game of Robots</t>
        </is>
      </c>
      <c r="B149" s="327">
        <f>HYPERLINK("http://codeforces.com/contest/670/problem/B","CF670-D2-B")</f>
        <v/>
      </c>
      <c r="C149" s="433" t="n"/>
      <c r="D149" s="418" t="n"/>
      <c r="E149" s="418" t="n"/>
      <c r="F149" s="418" t="n"/>
      <c r="G149" s="418" t="n"/>
      <c r="H149" s="418" t="n"/>
      <c r="I149" s="404">
        <f>SUM(E149:H149)</f>
        <v/>
      </c>
      <c r="J149" s="404" t="n"/>
      <c r="K149" s="404" t="n"/>
      <c r="L149" s="418" t="n"/>
      <c r="M149" s="295" t="n"/>
    </row>
    <row r="150" ht="15.75" customHeight="1" s="279">
      <c r="A150" s="304" t="n"/>
      <c r="C150" s="433" t="n"/>
      <c r="D150" s="418" t="n"/>
      <c r="E150" s="418" t="n"/>
      <c r="F150" s="418" t="n"/>
      <c r="G150" s="418" t="n"/>
      <c r="H150" s="418" t="n"/>
      <c r="I150" s="404">
        <f>SUM(E150:H150)</f>
        <v/>
      </c>
      <c r="J150" s="404" t="n"/>
      <c r="K150" s="404" t="n"/>
      <c r="L150" s="418" t="n"/>
      <c r="M150" s="295" t="n"/>
    </row>
    <row r="151" ht="15.75" customHeight="1" s="279">
      <c r="A151" s="295" t="inlineStr">
        <is>
          <t>African Crossword</t>
        </is>
      </c>
      <c r="B151" s="417">
        <f>HYPERLINK("http://codeforces.com/contest/90/problem/B","CF90-D2-B")</f>
        <v/>
      </c>
      <c r="C151" s="301" t="n"/>
      <c r="D151" s="295" t="n"/>
      <c r="E151" s="295" t="n"/>
      <c r="F151" s="295" t="n"/>
      <c r="G151" s="295" t="n"/>
      <c r="H151" s="418" t="n"/>
      <c r="I151" s="404">
        <f>SUM(E151:H151)</f>
        <v/>
      </c>
      <c r="J151" s="404" t="n"/>
      <c r="K151" s="404" t="n"/>
      <c r="L151" s="295" t="n"/>
      <c r="M151" s="295" t="n"/>
    </row>
    <row r="152" ht="15.75" customHeight="1" s="279">
      <c r="A152" s="295" t="inlineStr">
        <is>
          <t>Cows and Poker Game</t>
        </is>
      </c>
      <c r="B152" s="417">
        <f>HYPERLINK("http://codeforces.com/contest/284/problem/B","CF284-D2-B")</f>
        <v/>
      </c>
      <c r="C152" s="301" t="n"/>
      <c r="D152" s="295" t="n"/>
      <c r="E152" s="295" t="n"/>
      <c r="F152" s="295" t="n"/>
      <c r="G152" s="295" t="n"/>
      <c r="H152" s="418" t="n"/>
      <c r="I152" s="404">
        <f>SUM(E152:H152)</f>
        <v/>
      </c>
      <c r="J152" s="404" t="n"/>
      <c r="K152" s="404" t="n"/>
      <c r="L152" s="295" t="n"/>
      <c r="M152" s="295" t="n"/>
    </row>
    <row r="153" ht="15.75" customHeight="1" s="279">
      <c r="A153" s="295" t="inlineStr">
        <is>
          <t>Find Marble</t>
        </is>
      </c>
      <c r="B153" s="417">
        <f>HYPERLINK("http://codeforces.com/contest/285/problem/B","CF285-D2-B")</f>
        <v/>
      </c>
      <c r="C153" s="301" t="n"/>
      <c r="D153" s="295" t="n"/>
      <c r="E153" s="295" t="n"/>
      <c r="F153" s="295" t="n"/>
      <c r="G153" s="295" t="n"/>
      <c r="H153" s="418" t="n"/>
      <c r="I153" s="404">
        <f>SUM(E153:H153)</f>
        <v/>
      </c>
      <c r="J153" s="404" t="n"/>
      <c r="K153" s="404" t="n"/>
      <c r="L153" s="295" t="n"/>
      <c r="M153" s="295" t="n"/>
    </row>
    <row r="154" ht="15.75" customHeight="1" s="279">
      <c r="A154" s="295" t="inlineStr">
        <is>
          <t>Interesting drink</t>
        </is>
      </c>
      <c r="B154" s="417">
        <f>HYPERLINK("http://codeforces.com/contest/706/problem/B","CF706-D2-B")</f>
        <v/>
      </c>
      <c r="C154" s="301" t="n"/>
      <c r="D154" s="295" t="n"/>
      <c r="E154" s="295" t="n"/>
      <c r="F154" s="295" t="n"/>
      <c r="G154" s="295" t="n"/>
      <c r="H154" s="418" t="n"/>
      <c r="I154" s="404">
        <f>SUM(E154:H154)</f>
        <v/>
      </c>
      <c r="J154" s="404" t="n"/>
      <c r="K154" s="404" t="n"/>
      <c r="L154" s="295" t="n"/>
      <c r="M154" s="295" t="n"/>
    </row>
    <row r="155" ht="15.75" customHeight="1" s="279">
      <c r="A155" s="295" t="inlineStr">
        <is>
          <t>Megacity</t>
        </is>
      </c>
      <c r="B155" s="417">
        <f>HYPERLINK("http://codeforces.com/contest/424/problem/B","CF424-D2-B")</f>
        <v/>
      </c>
      <c r="C155" s="301" t="n"/>
      <c r="D155" s="295" t="n"/>
      <c r="E155" s="295" t="n"/>
      <c r="F155" s="295" t="n"/>
      <c r="G155" s="295" t="n"/>
      <c r="H155" s="418" t="n"/>
      <c r="I155" s="404">
        <f>SUM(E155:H155)</f>
        <v/>
      </c>
      <c r="J155" s="404" t="n"/>
      <c r="K155" s="404" t="n"/>
      <c r="L155" s="295" t="n"/>
      <c r="M155" s="295" t="n"/>
    </row>
    <row r="156" ht="15.75" customHeight="1" s="279">
      <c r="A156" s="295" t="inlineStr">
        <is>
          <t>Beautiful Paintings</t>
        </is>
      </c>
      <c r="B156" s="417">
        <f>HYPERLINK("http://codeforces.com/contest/651/problem/B","CF651-D2-B")</f>
        <v/>
      </c>
      <c r="C156" s="301" t="n"/>
      <c r="D156" s="295" t="n"/>
      <c r="E156" s="295" t="n"/>
      <c r="F156" s="295" t="n"/>
      <c r="G156" s="295" t="n"/>
      <c r="H156" s="418" t="n"/>
      <c r="I156" s="404">
        <f>SUM(E156:H156)</f>
        <v/>
      </c>
      <c r="J156" s="404" t="n"/>
      <c r="K156" s="404" t="n"/>
      <c r="L156" s="295" t="n"/>
      <c r="M156" s="295" t="n"/>
    </row>
    <row r="157" ht="15.75" customHeight="1" s="279">
      <c r="A157" s="295" t="inlineStr">
        <is>
          <t>Ilya and Queries</t>
        </is>
      </c>
      <c r="B157" s="417">
        <f>HYPERLINK("http://codeforces.com/contest/313/problem/B","CF313-D2-B")</f>
        <v/>
      </c>
      <c r="C157" s="301" t="n"/>
      <c r="D157" s="295" t="n"/>
      <c r="E157" s="295" t="n"/>
      <c r="F157" s="295" t="n"/>
      <c r="G157" s="295" t="n"/>
      <c r="H157" s="418" t="n"/>
      <c r="I157" s="404">
        <f>SUM(E157:H157)</f>
        <v/>
      </c>
      <c r="J157" s="404" t="n"/>
      <c r="K157" s="404" t="n"/>
      <c r="L157" s="295" t="n"/>
      <c r="M157" s="295" t="n"/>
    </row>
    <row r="158" ht="15.75" customHeight="1" s="279">
      <c r="A158" s="295" t="inlineStr">
        <is>
          <t>Code Parsing</t>
        </is>
      </c>
      <c r="B158" s="417">
        <f>HYPERLINK("http://codeforces.com/contest/255/problem/B","CF255-D2-B")</f>
        <v/>
      </c>
      <c r="C158" s="301" t="n"/>
      <c r="D158" s="295" t="n"/>
      <c r="E158" s="295" t="n"/>
      <c r="F158" s="295" t="n"/>
      <c r="G158" s="295" t="n"/>
      <c r="H158" s="418" t="n"/>
      <c r="I158" s="404">
        <f>SUM(E158:H158)</f>
        <v/>
      </c>
      <c r="J158" s="404" t="n"/>
      <c r="K158" s="404" t="n"/>
      <c r="L158" s="295" t="n"/>
      <c r="M158" s="295" t="n"/>
    </row>
    <row r="159" ht="15.75" customHeight="1" s="279">
      <c r="A159" s="295" t="inlineStr">
        <is>
          <t>Hungry Sequence</t>
        </is>
      </c>
      <c r="B159" s="417">
        <f>HYPERLINK("http://codeforces.com/contest/327/problem/B","CF327-D2-B")</f>
        <v/>
      </c>
      <c r="C159" s="301" t="n"/>
      <c r="D159" s="295" t="n"/>
      <c r="E159" s="295" t="n"/>
      <c r="F159" s="295" t="n"/>
      <c r="G159" s="295" t="n"/>
      <c r="H159" s="418" t="n"/>
      <c r="I159" s="404">
        <f>SUM(E159:H159)</f>
        <v/>
      </c>
      <c r="J159" s="404" t="n"/>
      <c r="K159" s="404" t="n"/>
      <c r="L159" s="295" t="n"/>
      <c r="M159" s="295" t="n"/>
    </row>
    <row r="160" ht="15.75" customHeight="1" s="279">
      <c r="A160" s="295" t="inlineStr">
        <is>
          <t>Chloe and the sequence</t>
        </is>
      </c>
      <c r="B160" s="417">
        <f>HYPERLINK("http://codeforces.com/contest/743/problem/B","CF743-D2-B")</f>
        <v/>
      </c>
      <c r="C160" s="301" t="n"/>
      <c r="D160" s="295" t="n"/>
      <c r="E160" s="295" t="n"/>
      <c r="F160" s="295" t="n"/>
      <c r="G160" s="295" t="n"/>
      <c r="H160" s="418" t="n"/>
      <c r="I160" s="404">
        <f>SUM(E160:H160)</f>
        <v/>
      </c>
      <c r="J160" s="404" t="n"/>
      <c r="K160" s="404" t="n"/>
      <c r="L160" s="295" t="n"/>
      <c r="M160" s="480" t="n"/>
    </row>
    <row r="161" ht="15.75" customHeight="1" s="279">
      <c r="A161" s="295" t="inlineStr">
        <is>
          <t>Luxurious Houses</t>
        </is>
      </c>
      <c r="B161" s="417">
        <f>HYPERLINK("http://codeforces.com/contest/581/problem/B","CF581-D2-B")</f>
        <v/>
      </c>
      <c r="C161" s="301" t="n"/>
      <c r="D161" s="295" t="n"/>
      <c r="E161" s="295" t="n"/>
      <c r="F161" s="295" t="n"/>
      <c r="G161" s="295" t="n"/>
      <c r="H161" s="418" t="n"/>
      <c r="I161" s="404">
        <f>SUM(E161:H161)</f>
        <v/>
      </c>
      <c r="J161" s="404" t="n"/>
      <c r="K161" s="404" t="n"/>
      <c r="L161" s="295" t="n"/>
      <c r="M161" s="295" t="n"/>
    </row>
    <row r="162" ht="15.75" customHeight="1" s="279">
      <c r="A162" s="295" t="n"/>
      <c r="B162" s="417" t="n"/>
      <c r="C162" s="301" t="n"/>
      <c r="D162" s="295" t="n"/>
      <c r="E162" s="295" t="n"/>
      <c r="F162" s="295" t="n"/>
      <c r="G162" s="295" t="n"/>
      <c r="H162" s="418" t="n"/>
      <c r="I162" s="404">
        <f>SUM(E162:H162)</f>
        <v/>
      </c>
      <c r="J162" s="404" t="n"/>
      <c r="K162" s="404" t="n"/>
      <c r="L162" s="295" t="n"/>
      <c r="M162" s="295" t="n"/>
    </row>
    <row r="163" ht="15.75" customHeight="1" s="279">
      <c r="A163" s="304" t="inlineStr">
        <is>
          <t>Settlers' Training</t>
        </is>
      </c>
      <c r="B163" s="327">
        <f>HYPERLINK("http://codeforces.com/contest/63/problem/B","CF63-D2-B")</f>
        <v/>
      </c>
      <c r="C163" s="433" t="n"/>
      <c r="D163" s="418" t="n"/>
      <c r="E163" s="418" t="n"/>
      <c r="F163" s="418" t="n"/>
      <c r="G163" s="418" t="n"/>
      <c r="H163" s="418" t="n"/>
      <c r="I163" s="404">
        <f>SUM(E163:H163)</f>
        <v/>
      </c>
      <c r="J163" s="404" t="n"/>
      <c r="K163" s="404" t="n"/>
      <c r="L163" s="418" t="n"/>
      <c r="M163" s="295" t="n"/>
    </row>
    <row r="164" ht="15.75" customHeight="1" s="279">
      <c r="A164" s="304" t="inlineStr">
        <is>
          <t>Far Relative’s Problem</t>
        </is>
      </c>
      <c r="B164" s="327">
        <f>HYPERLINK("http://codeforces.com/contest/629/problem/B","CF629-D2-B")</f>
        <v/>
      </c>
      <c r="C164" s="433" t="n"/>
      <c r="D164" s="418" t="n"/>
      <c r="E164" s="418" t="n"/>
      <c r="F164" s="418" t="n"/>
      <c r="G164" s="418" t="n"/>
      <c r="H164" s="418" t="n"/>
      <c r="I164" s="404">
        <f>SUM(E164:H164)</f>
        <v/>
      </c>
      <c r="J164" s="404" t="n"/>
      <c r="K164" s="404" t="n"/>
      <c r="L164" s="418" t="n"/>
      <c r="M164" s="295" t="n"/>
    </row>
    <row r="165" ht="15.75" customHeight="1" s="279">
      <c r="A165" s="304" t="inlineStr">
        <is>
          <t>Wilbur and Array</t>
        </is>
      </c>
      <c r="B165" s="327">
        <f>HYPERLINK("http://codeforces.com/contest/596/problem/B","CF596-D2-B")</f>
        <v/>
      </c>
      <c r="C165" s="433" t="n"/>
      <c r="D165" s="418" t="n"/>
      <c r="E165" s="418" t="n"/>
      <c r="F165" s="418" t="n"/>
      <c r="G165" s="418" t="n"/>
      <c r="H165" s="418" t="n"/>
      <c r="I165" s="404">
        <f>SUM(E165:H165)</f>
        <v/>
      </c>
      <c r="J165" s="404" t="n"/>
      <c r="K165" s="404" t="n"/>
      <c r="L165" s="418" t="n"/>
      <c r="M165" s="295" t="n"/>
    </row>
    <row r="166" ht="15.75" customHeight="1" s="279">
      <c r="A166" s="304" t="inlineStr">
        <is>
          <t>Text Document Analysis</t>
        </is>
      </c>
      <c r="B166" s="327">
        <f>HYPERLINK("http://codeforces.com/contest/723/problem/B","CF723-D2-B")</f>
        <v/>
      </c>
      <c r="C166" s="433" t="n"/>
      <c r="D166" s="418" t="n"/>
      <c r="E166" s="418" t="n"/>
      <c r="F166" s="418" t="n"/>
      <c r="G166" s="418" t="n"/>
      <c r="H166" s="418" t="n"/>
      <c r="I166" s="404">
        <f>SUM(E166:H166)</f>
        <v/>
      </c>
      <c r="J166" s="404" t="n"/>
      <c r="K166" s="404" t="n"/>
      <c r="L166" s="418" t="n"/>
      <c r="M166" s="295" t="n"/>
    </row>
    <row r="167" ht="15.75" customHeight="1" s="279">
      <c r="A167" s="304" t="inlineStr">
        <is>
          <t>Shower Line</t>
        </is>
      </c>
      <c r="B167" s="327">
        <f>HYPERLINK("http://codeforces.com/contest/431/problem/B","CF431-D2-B")</f>
        <v/>
      </c>
      <c r="C167" s="433" t="n"/>
      <c r="D167" s="418" t="n"/>
      <c r="E167" s="418" t="n"/>
      <c r="F167" s="418" t="n"/>
      <c r="G167" s="418" t="n"/>
      <c r="H167" s="418" t="n"/>
      <c r="I167" s="404">
        <f>SUM(E167:H167)</f>
        <v/>
      </c>
      <c r="J167" s="404" t="n"/>
      <c r="K167" s="404" t="n"/>
      <c r="L167" s="418" t="n"/>
      <c r="M167" s="295" t="n"/>
    </row>
    <row r="168" ht="15.75" customHeight="1" s="279">
      <c r="A168" s="304" t="inlineStr">
        <is>
          <t>Misha and Changing Handles</t>
        </is>
      </c>
      <c r="B168" s="327">
        <f>HYPERLINK("http://codeforces.com/contest/501/problem/B","CF501-D2-B")</f>
        <v/>
      </c>
      <c r="C168" s="433" t="n"/>
      <c r="D168" s="418" t="n"/>
      <c r="E168" s="418" t="n"/>
      <c r="F168" s="418" t="n"/>
      <c r="G168" s="418" t="n"/>
      <c r="H168" s="418" t="n"/>
      <c r="I168" s="404">
        <f>SUM(E168:H168)</f>
        <v/>
      </c>
      <c r="J168" s="404" t="n"/>
      <c r="K168" s="404" t="n"/>
      <c r="L168" s="418" t="n"/>
      <c r="M168" s="295" t="n"/>
    </row>
    <row r="169" ht="15.75" customHeight="1" s="279">
      <c r="A169" s="304" t="inlineStr">
        <is>
          <t>Coat of Anticubism</t>
        </is>
      </c>
      <c r="B169" s="327">
        <f>HYPERLINK("http://codeforces.com/contest/667/problem/B","CF667-D2-B")</f>
        <v/>
      </c>
      <c r="C169" s="433" t="n"/>
      <c r="D169" s="418" t="n"/>
      <c r="E169" s="418" t="n"/>
      <c r="F169" s="418" t="n"/>
      <c r="G169" s="418" t="n"/>
      <c r="H169" s="418" t="n"/>
      <c r="I169" s="404">
        <f>SUM(E169:H169)</f>
        <v/>
      </c>
      <c r="J169" s="404" t="n"/>
      <c r="K169" s="404" t="n"/>
      <c r="L169" s="418" t="n"/>
      <c r="M169" s="295" t="n"/>
    </row>
    <row r="170" ht="15.75" customHeight="1" s="279">
      <c r="A170" s="304" t="inlineStr">
        <is>
          <t>Ternary Logic</t>
        </is>
      </c>
      <c r="B170" s="327">
        <f>HYPERLINK("http://codeforces.com/contest/136/problem/B","CF136-D2-B")</f>
        <v/>
      </c>
      <c r="C170" s="433" t="n"/>
      <c r="D170" s="418" t="n"/>
      <c r="E170" s="418" t="n"/>
      <c r="F170" s="418" t="n"/>
      <c r="G170" s="418" t="n"/>
      <c r="H170" s="418" t="n"/>
      <c r="I170" s="404">
        <f>SUM(E170:H170)</f>
        <v/>
      </c>
      <c r="J170" s="404" t="n"/>
      <c r="K170" s="404" t="n"/>
      <c r="L170" s="418" t="n"/>
      <c r="M170" s="295" t="n"/>
    </row>
    <row r="171" ht="15.75" customHeight="1" s="279">
      <c r="A171" s="295" t="inlineStr">
        <is>
          <t>Counting Rhombi</t>
        </is>
      </c>
      <c r="B171" s="417">
        <f>HYPERLINK("http://codeforces.com/contest/189/problem/B","CF189-D2-B")</f>
        <v/>
      </c>
      <c r="C171" s="301" t="n"/>
      <c r="D171" s="295" t="n"/>
      <c r="E171" s="295" t="n"/>
      <c r="F171" s="295" t="n"/>
      <c r="G171" s="295" t="n"/>
      <c r="H171" s="418" t="n"/>
      <c r="I171" s="404">
        <f>SUM(E171:H171)</f>
        <v/>
      </c>
      <c r="J171" s="404" t="n"/>
      <c r="K171" s="404" t="n"/>
      <c r="L171" s="295" t="n"/>
      <c r="M171" s="295" t="n"/>
    </row>
    <row r="172" ht="15.75" customHeight="1" s="279">
      <c r="A172" s="295" t="inlineStr">
        <is>
          <t>Pashmak and Flowers</t>
        </is>
      </c>
      <c r="B172" s="417">
        <f>HYPERLINK("http://codeforces.com/contest/459/problem/B","CF459-D2-B")</f>
        <v/>
      </c>
      <c r="C172" s="301" t="n"/>
      <c r="D172" s="295" t="n"/>
      <c r="E172" s="295" t="n"/>
      <c r="F172" s="295" t="n"/>
      <c r="G172" s="295" t="n"/>
      <c r="H172" s="418" t="n"/>
      <c r="I172" s="404">
        <f>SUM(E172:H172)</f>
        <v/>
      </c>
      <c r="J172" s="404" t="n"/>
      <c r="K172" s="404" t="n"/>
      <c r="L172" s="295" t="n"/>
      <c r="M172" s="295" t="n"/>
    </row>
    <row r="173" ht="15.75" customHeight="1" s="279">
      <c r="A173" s="304" t="n"/>
      <c r="C173" s="433" t="n"/>
      <c r="D173" s="418" t="n"/>
      <c r="E173" s="418" t="n"/>
      <c r="F173" s="418" t="n"/>
      <c r="G173" s="418" t="n"/>
      <c r="H173" s="418" t="n"/>
      <c r="I173" s="404">
        <f>SUM(E173:H173)</f>
        <v/>
      </c>
      <c r="J173" s="404" t="n"/>
      <c r="K173" s="404" t="n"/>
      <c r="L173" s="418" t="n"/>
      <c r="M173" s="295" t="n"/>
    </row>
    <row r="174" ht="15.75" customHeight="1" s="279">
      <c r="A174" s="304" t="inlineStr">
        <is>
          <t>The Monster and the Squirrel</t>
        </is>
      </c>
      <c r="B174" s="327">
        <f>HYPERLINK("http://codeforces.com/contest/592/problem/B","CF592-D2-B")</f>
        <v/>
      </c>
      <c r="C174" s="433" t="n"/>
      <c r="D174" s="418" t="n"/>
      <c r="E174" s="418" t="n"/>
      <c r="F174" s="418" t="n"/>
      <c r="G174" s="418" t="n"/>
      <c r="H174" s="418" t="n"/>
      <c r="I174" s="404">
        <f>SUM(E174:H174)</f>
        <v/>
      </c>
      <c r="J174" s="404" t="n"/>
      <c r="K174" s="404" t="n"/>
      <c r="L174" s="418" t="n"/>
      <c r="M174" s="295" t="n"/>
    </row>
    <row r="175" ht="15.75" customHeight="1" s="279">
      <c r="A175" s="304" t="inlineStr">
        <is>
          <t>The Fibonacci Segment</t>
        </is>
      </c>
      <c r="B175" s="327">
        <f>HYPERLINK("http://codeforces.com/contest/365/problem/B","CF365-D2-B")</f>
        <v/>
      </c>
      <c r="C175" s="433" t="n"/>
      <c r="D175" s="418" t="n"/>
      <c r="E175" s="418" t="n"/>
      <c r="F175" s="418" t="n"/>
      <c r="G175" s="418" t="n"/>
      <c r="H175" s="418" t="n"/>
      <c r="I175" s="404">
        <f>SUM(E175:H175)</f>
        <v/>
      </c>
      <c r="J175" s="404" t="n"/>
      <c r="K175" s="404" t="n"/>
      <c r="L175" s="418" t="n"/>
      <c r="M175" s="295" t="n"/>
    </row>
    <row r="176" ht="15.75" customHeight="1" s="279">
      <c r="A176" s="304" t="inlineStr">
        <is>
          <t>Spider Man</t>
        </is>
      </c>
      <c r="B176" s="327">
        <f>HYPERLINK("http://codeforces.com/contest/705/problem/B","CF705-D2-B")</f>
        <v/>
      </c>
      <c r="C176" s="433" t="n"/>
      <c r="D176" s="418" t="n"/>
      <c r="E176" s="418" t="n"/>
      <c r="F176" s="418" t="n"/>
      <c r="G176" s="418" t="n"/>
      <c r="H176" s="418" t="n"/>
      <c r="I176" s="404">
        <f>SUM(E176:H176)</f>
        <v/>
      </c>
      <c r="J176" s="404" t="n"/>
      <c r="K176" s="404" t="n"/>
      <c r="L176" s="418" t="n"/>
      <c r="M176" s="295" t="n"/>
    </row>
    <row r="177" ht="15.75" customHeight="1" s="279">
      <c r="A177" s="304" t="inlineStr">
        <is>
          <t>Little Robber Girl's Zoo</t>
        </is>
      </c>
      <c r="B177" s="327">
        <f>HYPERLINK("http://codeforces.com/contest/686/problem/B","CF686-D2-B")</f>
        <v/>
      </c>
      <c r="C177" s="433" t="n"/>
      <c r="D177" s="418" t="n"/>
      <c r="E177" s="418" t="n"/>
      <c r="F177" s="418" t="n"/>
      <c r="G177" s="418" t="n"/>
      <c r="H177" s="418" t="n"/>
      <c r="I177" s="404">
        <f>SUM(E177:H177)</f>
        <v/>
      </c>
      <c r="J177" s="404" t="n"/>
      <c r="K177" s="404" t="n"/>
      <c r="L177" s="418" t="n"/>
      <c r="M177" s="295" t="n"/>
    </row>
    <row r="178" ht="15.75" customHeight="1" s="279">
      <c r="A178" s="304" t="inlineStr">
        <is>
          <t>Unary</t>
        </is>
      </c>
      <c r="B178" s="327">
        <f>HYPERLINK("http://codeforces.com/contest/133/problem/B","CF133-D2-B")</f>
        <v/>
      </c>
      <c r="C178" s="433" t="n"/>
      <c r="D178" s="418" t="n"/>
      <c r="E178" s="418" t="n"/>
      <c r="F178" s="418" t="n"/>
      <c r="G178" s="418" t="n"/>
      <c r="H178" s="418" t="n"/>
      <c r="I178" s="404">
        <f>SUM(E178:H178)</f>
        <v/>
      </c>
      <c r="J178" s="404" t="n"/>
      <c r="K178" s="404" t="n"/>
      <c r="L178" s="418" t="n"/>
      <c r="M178" s="295" t="n"/>
    </row>
    <row r="179" ht="15.75" customHeight="1" s="279">
      <c r="A179" s="304" t="inlineStr">
        <is>
          <t>Canvas Frames</t>
        </is>
      </c>
      <c r="B179" s="327">
        <f>HYPERLINK("http://codeforces.com/contest/127/problem/B","CF127-D2-B")</f>
        <v/>
      </c>
      <c r="C179" s="433" t="n"/>
      <c r="D179" s="418" t="n"/>
      <c r="E179" s="418" t="n"/>
      <c r="F179" s="418" t="n"/>
      <c r="G179" s="418" t="n"/>
      <c r="H179" s="418" t="n"/>
      <c r="I179" s="404">
        <f>SUM(E179:H179)</f>
        <v/>
      </c>
      <c r="J179" s="404" t="n"/>
      <c r="K179" s="404" t="n"/>
      <c r="L179" s="418" t="n"/>
      <c r="M179" s="295" t="n"/>
    </row>
    <row r="180" ht="15.75" customHeight="1" s="279">
      <c r="A180" s="304" t="inlineStr">
        <is>
          <t>Ohana Cleans Up</t>
        </is>
      </c>
      <c r="B180" s="327">
        <f>HYPERLINK("http://codeforces.com/contest/554/problem/B","CF554-D2-B")</f>
        <v/>
      </c>
      <c r="C180" s="433" t="n"/>
      <c r="D180" s="418" t="n"/>
      <c r="E180" s="418" t="n"/>
      <c r="F180" s="418" t="n"/>
      <c r="G180" s="418" t="n"/>
      <c r="H180" s="418" t="n"/>
      <c r="I180" s="404">
        <f>SUM(E180:H180)</f>
        <v/>
      </c>
      <c r="J180" s="404" t="n"/>
      <c r="K180" s="404" t="n"/>
      <c r="L180" s="418" t="n"/>
      <c r="M180" s="295" t="n"/>
    </row>
    <row r="181" ht="15.75" customHeight="1" s="279">
      <c r="A181" s="304" t="inlineStr">
        <is>
          <t>Garland</t>
        </is>
      </c>
      <c r="B181" s="327">
        <f>HYPERLINK("http://codeforces.com/contest/408/problem/B","CF408-D2-B")</f>
        <v/>
      </c>
      <c r="C181" s="433" t="n"/>
      <c r="D181" s="418" t="n"/>
      <c r="E181" s="418" t="n"/>
      <c r="F181" s="418" t="n"/>
      <c r="G181" s="418" t="n"/>
      <c r="H181" s="418" t="n"/>
      <c r="I181" s="404">
        <f>SUM(E181:H181)</f>
        <v/>
      </c>
      <c r="J181" s="404" t="n"/>
      <c r="K181" s="404" t="n"/>
      <c r="L181" s="418" t="n"/>
      <c r="M181" s="295" t="n"/>
    </row>
    <row r="182" ht="15.75" customHeight="1" s="279">
      <c r="A182" s="304" t="inlineStr">
        <is>
          <t>Petya and Staircases</t>
        </is>
      </c>
      <c r="B182" s="327">
        <f>HYPERLINK("http://codeforces.com/contest/362/problem/B","CF362-D2-B")</f>
        <v/>
      </c>
      <c r="C182" s="433" t="n"/>
      <c r="D182" s="418" t="n"/>
      <c r="E182" s="418" t="n"/>
      <c r="F182" s="418" t="n"/>
      <c r="G182" s="418" t="n"/>
      <c r="H182" s="418" t="n"/>
      <c r="I182" s="404">
        <f>SUM(E182:H182)</f>
        <v/>
      </c>
      <c r="J182" s="404" t="n"/>
      <c r="K182" s="404" t="n"/>
      <c r="L182" s="418" t="n"/>
      <c r="M182" s="295" t="n"/>
    </row>
    <row r="183" ht="15.75" customHeight="1" s="279">
      <c r="A183" s="304" t="inlineStr">
        <is>
          <t>Equidistant String</t>
        </is>
      </c>
      <c r="B183" s="327">
        <f>HYPERLINK("http://codeforces.com/contest/545/problem/B","CF545-D2-B")</f>
        <v/>
      </c>
      <c r="C183" s="433" t="n"/>
      <c r="D183" s="418" t="n"/>
      <c r="E183" s="418" t="n"/>
      <c r="F183" s="418" t="n"/>
      <c r="G183" s="418" t="n"/>
      <c r="H183" s="418" t="n"/>
      <c r="I183" s="404">
        <f>SUM(E183:H183)</f>
        <v/>
      </c>
      <c r="J183" s="404" t="n"/>
      <c r="K183" s="404" t="n"/>
      <c r="L183" s="418" t="n"/>
      <c r="M183" s="295" t="n"/>
    </row>
    <row r="184" ht="15.75" customHeight="1" s="279">
      <c r="A184" s="295" t="inlineStr">
        <is>
          <t>Vanya and Food Processor</t>
        </is>
      </c>
      <c r="B184" s="417">
        <f>HYPERLINK("http://codeforces.com/contest/677/problem/B","CF677-D2-B")</f>
        <v/>
      </c>
      <c r="C184" s="301" t="n"/>
      <c r="D184" s="295" t="n"/>
      <c r="E184" s="295" t="n"/>
      <c r="F184" s="295" t="n"/>
      <c r="G184" s="295" t="n"/>
      <c r="H184" s="418" t="n"/>
      <c r="I184" s="404">
        <f>SUM(E184:H184)</f>
        <v/>
      </c>
      <c r="J184" s="404" t="n"/>
      <c r="K184" s="404" t="n"/>
      <c r="L184" s="295" t="n"/>
      <c r="M184" s="295" t="n"/>
    </row>
    <row r="185" ht="15.75" customHeight="1" s="279">
      <c r="A185" s="295" t="inlineStr">
        <is>
          <t>Calendar</t>
        </is>
      </c>
      <c r="B185" s="417">
        <f>HYPERLINK("http://codeforces.com/contest/304/problem/B","CF304-D2-B")</f>
        <v/>
      </c>
      <c r="C185" s="301" t="n"/>
      <c r="D185" s="295" t="n"/>
      <c r="E185" s="295" t="n"/>
      <c r="F185" s="295" t="n"/>
      <c r="G185" s="295" t="n"/>
      <c r="H185" s="418" t="n"/>
      <c r="I185" s="404">
        <f>SUM(E185:H185)</f>
        <v/>
      </c>
      <c r="J185" s="404" t="n"/>
      <c r="K185" s="404" t="n"/>
      <c r="L185" s="295" t="n"/>
      <c r="M185" s="295" t="n"/>
    </row>
    <row r="186" ht="15.75" customHeight="1" s="279">
      <c r="A186" s="295" t="inlineStr">
        <is>
          <t>Amr and Pins</t>
        </is>
      </c>
      <c r="B186" s="417">
        <f>HYPERLINK("http://codeforces.com/contest/507/problem/B","CF507-D2-B")</f>
        <v/>
      </c>
      <c r="C186" s="301" t="n"/>
      <c r="D186" s="295" t="n"/>
      <c r="E186" s="295" t="n"/>
      <c r="F186" s="295" t="n"/>
      <c r="G186" s="295" t="n"/>
      <c r="H186" s="418" t="n"/>
      <c r="I186" s="404">
        <f>SUM(E186:H186)</f>
        <v/>
      </c>
      <c r="J186" s="404" t="n"/>
      <c r="K186" s="404" t="n"/>
      <c r="L186" s="295" t="n"/>
      <c r="M186" s="295" t="n"/>
    </row>
    <row r="187" ht="15.75" customHeight="1" s="279">
      <c r="A187" s="295" t="inlineStr">
        <is>
          <t>Polo the Penguin and Matrix</t>
        </is>
      </c>
      <c r="B187" s="417">
        <f>HYPERLINK("http://codeforces.com/contest/289/problem/B","CF289-D2-B")</f>
        <v/>
      </c>
      <c r="C187" s="301" t="n"/>
      <c r="D187" s="295" t="n"/>
      <c r="E187" s="295" t="n"/>
      <c r="F187" s="295" t="n"/>
      <c r="G187" s="295" t="n"/>
      <c r="H187" s="418" t="n"/>
      <c r="I187" s="404">
        <f>SUM(E187:H187)</f>
        <v/>
      </c>
      <c r="J187" s="404" t="n"/>
      <c r="K187" s="404" t="n"/>
      <c r="L187" s="295" t="n"/>
      <c r="M187" s="295" t="n"/>
    </row>
    <row r="188" ht="15.75" customHeight="1" s="279">
      <c r="A188" s="304" t="n"/>
      <c r="C188" s="433" t="n"/>
      <c r="D188" s="418" t="n"/>
      <c r="E188" s="418" t="n"/>
      <c r="F188" s="418" t="n"/>
      <c r="G188" s="418" t="n"/>
      <c r="H188" s="418" t="n"/>
      <c r="I188" s="404">
        <f>SUM(E188:H188)</f>
        <v/>
      </c>
      <c r="J188" s="404" t="n"/>
      <c r="K188" s="404" t="n"/>
      <c r="L188" s="418" t="n"/>
      <c r="M188" s="295" t="n"/>
    </row>
    <row r="189" ht="15.75" customHeight="1" s="279">
      <c r="A189" s="304" t="inlineStr">
        <is>
          <t>George and Round</t>
        </is>
      </c>
      <c r="B189" s="327">
        <f>HYPERLINK("http://codeforces.com/contest/387/problem/B","CF387-D2-B")</f>
        <v/>
      </c>
      <c r="C189" s="433" t="n"/>
      <c r="D189" s="418" t="n"/>
      <c r="E189" s="418" t="n"/>
      <c r="F189" s="418" t="n"/>
      <c r="G189" s="418" t="n"/>
      <c r="H189" s="418" t="n"/>
      <c r="I189" s="404">
        <f>SUM(E189:H189)</f>
        <v/>
      </c>
      <c r="J189" s="404" t="n"/>
      <c r="K189" s="404" t="n"/>
      <c r="L189" s="418" t="n"/>
      <c r="M189" s="295" t="n"/>
    </row>
    <row r="190" ht="15.75" customHeight="1" s="279">
      <c r="A190" s="304" t="inlineStr">
        <is>
          <t>Alyona and flowers</t>
        </is>
      </c>
      <c r="B190" s="327">
        <f>HYPERLINK("http://codeforces.com/contest/740/problem/B","CF740-D2-B")</f>
        <v/>
      </c>
      <c r="C190" s="433" t="n"/>
      <c r="D190" s="418" t="n"/>
      <c r="E190" s="418" t="n"/>
      <c r="F190" s="418" t="n"/>
      <c r="G190" s="418" t="n"/>
      <c r="H190" s="418" t="n"/>
      <c r="I190" s="404">
        <f>SUM(E190:H190)</f>
        <v/>
      </c>
      <c r="J190" s="404" t="n"/>
      <c r="K190" s="404" t="n"/>
      <c r="L190" s="418" t="n"/>
      <c r="M190" s="295" t="n"/>
    </row>
    <row r="191" ht="15.75" customHeight="1" s="279">
      <c r="A191" s="304" t="inlineStr">
        <is>
          <t>Urbanization</t>
        </is>
      </c>
      <c r="B191" s="327">
        <f>HYPERLINK("http://codeforces.com/contest/735/problem/B","CF735-D2-B")</f>
        <v/>
      </c>
      <c r="C191" s="433" t="n"/>
      <c r="D191" s="418" t="n"/>
      <c r="E191" s="418" t="n"/>
      <c r="F191" s="418" t="n"/>
      <c r="G191" s="418" t="n"/>
      <c r="H191" s="418" t="n"/>
      <c r="I191" s="404">
        <f>SUM(E191:H191)</f>
        <v/>
      </c>
      <c r="J191" s="404" t="n"/>
      <c r="K191" s="404" t="n"/>
      <c r="L191" s="418" t="n"/>
      <c r="M191" s="295" t="n"/>
    </row>
    <row r="192" ht="15.75" customHeight="1" s="279">
      <c r="A192" s="304" t="inlineStr">
        <is>
          <t>Testing Pants for Sadness</t>
        </is>
      </c>
      <c r="B192" s="327">
        <f>HYPERLINK("http://codeforces.com/contest/104/problem/B","CF104-D2-B")</f>
        <v/>
      </c>
      <c r="C192" s="433" t="n"/>
      <c r="D192" s="418" t="n"/>
      <c r="E192" s="418" t="n"/>
      <c r="F192" s="418" t="n"/>
      <c r="G192" s="418" t="n"/>
      <c r="H192" s="418" t="n"/>
      <c r="I192" s="404">
        <f>SUM(E192:H192)</f>
        <v/>
      </c>
      <c r="J192" s="404" t="n"/>
      <c r="K192" s="404" t="n"/>
      <c r="L192" s="418" t="n"/>
      <c r="M192" s="295" t="n"/>
    </row>
    <row r="193" ht="15.75" customHeight="1" s="279">
      <c r="A193" s="304" t="inlineStr">
        <is>
          <t>Cells Not Under Attack</t>
        </is>
      </c>
      <c r="B193" s="327">
        <f>HYPERLINK("http://codeforces.com/contest/701/problem/B","CF701-D2-B")</f>
        <v/>
      </c>
      <c r="C193" s="433" t="n"/>
      <c r="D193" s="418" t="n"/>
      <c r="E193" s="418" t="n"/>
      <c r="F193" s="418" t="n"/>
      <c r="G193" s="418" t="n"/>
      <c r="H193" s="418" t="n"/>
      <c r="I193" s="404">
        <f>SUM(E193:H193)</f>
        <v/>
      </c>
      <c r="J193" s="404" t="n"/>
      <c r="K193" s="404" t="n"/>
      <c r="L193" s="418" t="n"/>
      <c r="M193" s="295" t="n"/>
    </row>
    <row r="194" ht="15.75" customHeight="1" s="279">
      <c r="A194" s="304" t="inlineStr">
        <is>
          <t>Vanya and Books</t>
        </is>
      </c>
      <c r="B194" s="327">
        <f>HYPERLINK("http://codeforces.com/contest/552/problem/B","CF552-D2-B")</f>
        <v/>
      </c>
      <c r="C194" s="433" t="n"/>
      <c r="D194" s="418" t="n"/>
      <c r="E194" s="418" t="n"/>
      <c r="F194" s="418" t="n"/>
      <c r="G194" s="418" t="n"/>
      <c r="H194" s="418" t="n"/>
      <c r="I194" s="404">
        <f>SUM(E194:H194)</f>
        <v/>
      </c>
      <c r="J194" s="404" t="n"/>
      <c r="K194" s="404" t="n"/>
      <c r="L194" s="418" t="n"/>
      <c r="M194" s="295" t="n"/>
    </row>
    <row r="195" ht="15.75" customHeight="1" s="279">
      <c r="A195" s="304" t="inlineStr">
        <is>
          <t>Worms</t>
        </is>
      </c>
      <c r="B195" s="327">
        <f>HYPERLINK("http://codeforces.com/contest/474/problem/B","CF474-D2-B")</f>
        <v/>
      </c>
      <c r="C195" s="433" t="n"/>
      <c r="D195" s="418" t="n"/>
      <c r="E195" s="418" t="n"/>
      <c r="F195" s="418" t="n"/>
      <c r="G195" s="418" t="n"/>
      <c r="H195" s="418" t="n"/>
      <c r="I195" s="404">
        <f>SUM(E195:H195)</f>
        <v/>
      </c>
      <c r="J195" s="404" t="n"/>
      <c r="K195" s="404" t="n"/>
      <c r="L195" s="418" t="n"/>
      <c r="M195" s="295" t="n"/>
    </row>
    <row r="196" ht="15.75" customHeight="1" s="279">
      <c r="A196" s="304" t="inlineStr">
        <is>
          <t>Fortune Telling</t>
        </is>
      </c>
      <c r="B196" s="327">
        <f>HYPERLINK("http://codeforces.com/contest/59/problem/B","CF59-D2-B")</f>
        <v/>
      </c>
      <c r="C196" s="433" t="n"/>
      <c r="D196" s="418" t="n"/>
      <c r="E196" s="418" t="n"/>
      <c r="F196" s="418" t="n"/>
      <c r="G196" s="418" t="n"/>
      <c r="H196" s="418" t="n"/>
      <c r="I196" s="404">
        <f>SUM(E196:H196)</f>
        <v/>
      </c>
      <c r="J196" s="404" t="n"/>
      <c r="K196" s="404" t="n"/>
      <c r="L196" s="418" t="n"/>
      <c r="M196" s="295" t="n"/>
    </row>
    <row r="197" ht="15.75" customHeight="1" s="279">
      <c r="A197" s="304" t="n"/>
      <c r="C197" s="433" t="n"/>
      <c r="D197" s="418" t="n"/>
      <c r="E197" s="418" t="n"/>
      <c r="F197" s="418" t="n"/>
      <c r="G197" s="418" t="n"/>
      <c r="H197" s="418" t="n"/>
      <c r="I197" s="404">
        <f>SUM(E197:H197)</f>
        <v/>
      </c>
      <c r="J197" s="404" t="n"/>
      <c r="K197" s="404" t="n"/>
      <c r="L197" s="418" t="n"/>
      <c r="M197" s="295" t="n"/>
    </row>
    <row r="198" ht="15.75" customHeight="1" s="279">
      <c r="A198" s="304" t="inlineStr">
        <is>
          <t>Walking in the Rain</t>
        </is>
      </c>
      <c r="B198" s="327">
        <f>HYPERLINK("http://codeforces.com/contest/192/problem/B","CF192-D2-B")</f>
        <v/>
      </c>
      <c r="C198" s="433" t="n"/>
      <c r="D198" s="418" t="n"/>
      <c r="E198" s="418" t="n"/>
      <c r="F198" s="418" t="n"/>
      <c r="G198" s="418" t="n"/>
      <c r="H198" s="418" t="n"/>
      <c r="I198" s="404">
        <f>SUM(E198:H198)</f>
        <v/>
      </c>
      <c r="J198" s="404" t="n"/>
      <c r="K198" s="404" t="n"/>
      <c r="L198" s="418" t="n"/>
      <c r="M198" s="295" t="n"/>
    </row>
    <row r="199" ht="15.75" customHeight="1" s="279">
      <c r="A199" s="304" t="inlineStr">
        <is>
          <t>Dima and To-do List</t>
        </is>
      </c>
      <c r="B199" s="327">
        <f>HYPERLINK("http://codeforces.com/contest/366/problem/B","CF366-D2-B")</f>
        <v/>
      </c>
      <c r="C199" s="433" t="n"/>
      <c r="D199" s="418" t="n"/>
      <c r="E199" s="418" t="n"/>
      <c r="F199" s="418" t="n"/>
      <c r="G199" s="418" t="n"/>
      <c r="H199" s="418" t="n"/>
      <c r="I199" s="404">
        <f>SUM(E199:H199)</f>
        <v/>
      </c>
      <c r="J199" s="404" t="n"/>
      <c r="K199" s="404" t="n"/>
      <c r="L199" s="418" t="n"/>
      <c r="M199" s="295" t="n"/>
    </row>
    <row r="200" ht="15.75" customHeight="1" s="279">
      <c r="A200" s="304" t="inlineStr">
        <is>
          <t>Sail</t>
        </is>
      </c>
      <c r="B200" s="327">
        <f>HYPERLINK("http://codeforces.com/contest/298/problem/B","CF298-D2-B")</f>
        <v/>
      </c>
      <c r="C200" s="433" t="n"/>
      <c r="D200" s="418" t="n"/>
      <c r="E200" s="418" t="n"/>
      <c r="F200" s="418" t="n"/>
      <c r="G200" s="418" t="n"/>
      <c r="H200" s="418" t="n"/>
      <c r="I200" s="404">
        <f>SUM(E200:H200)</f>
        <v/>
      </c>
      <c r="J200" s="404" t="n"/>
      <c r="K200" s="404" t="n"/>
      <c r="L200" s="418" t="n"/>
      <c r="M200" s="295" t="n"/>
    </row>
    <row r="201" ht="15.75" customHeight="1" s="279">
      <c r="A201" s="304" t="inlineStr">
        <is>
          <t>Fox and Cross</t>
        </is>
      </c>
      <c r="B201" s="327">
        <f>HYPERLINK("http://codeforces.com/contest/389/problem/B","CF389-D2-B")</f>
        <v/>
      </c>
      <c r="C201" s="433" t="n"/>
      <c r="D201" s="418" t="n"/>
      <c r="E201" s="418" t="n"/>
      <c r="F201" s="418" t="n"/>
      <c r="G201" s="418" t="n"/>
      <c r="H201" s="418" t="n"/>
      <c r="I201" s="404">
        <f>SUM(E201:H201)</f>
        <v/>
      </c>
      <c r="J201" s="404" t="n"/>
      <c r="K201" s="404" t="n"/>
      <c r="L201" s="418" t="n"/>
      <c r="M201" s="295" t="n"/>
    </row>
    <row r="202" ht="15.75" customHeight="1" s="279">
      <c r="A202" s="304" t="inlineStr">
        <is>
          <t>Rebranding</t>
        </is>
      </c>
      <c r="B202" s="327">
        <f>HYPERLINK("http://codeforces.com/contest/591/problem/B","CF591-D2-B")</f>
        <v/>
      </c>
      <c r="C202" s="433" t="n"/>
      <c r="D202" s="418" t="n"/>
      <c r="E202" s="418" t="n"/>
      <c r="F202" s="418" t="n"/>
      <c r="G202" s="418" t="n"/>
      <c r="H202" s="418" t="n"/>
      <c r="I202" s="404">
        <f>SUM(E202:H202)</f>
        <v/>
      </c>
      <c r="J202" s="404" t="n"/>
      <c r="K202" s="404" t="n"/>
      <c r="L202" s="418" t="n"/>
      <c r="M202" s="295" t="n"/>
    </row>
    <row r="203" ht="15.75" customHeight="1" s="279">
      <c r="A203" s="304" t="inlineStr">
        <is>
          <t>Increase and Decrease</t>
        </is>
      </c>
      <c r="B203" s="327">
        <f>HYPERLINK("http://codeforces.com/contest/246/problem/B","CF246-D2-B")</f>
        <v/>
      </c>
      <c r="C203" s="433" t="n"/>
      <c r="D203" s="418" t="n"/>
      <c r="E203" s="418" t="n"/>
      <c r="F203" s="418" t="n"/>
      <c r="G203" s="418" t="n"/>
      <c r="H203" s="418" t="n"/>
      <c r="I203" s="404">
        <f>SUM(E203:H203)</f>
        <v/>
      </c>
      <c r="J203" s="404" t="n"/>
      <c r="K203" s="404" t="n"/>
      <c r="L203" s="418" t="n"/>
      <c r="M203" s="295" t="n"/>
    </row>
    <row r="204" ht="15.75" customHeight="1" s="279">
      <c r="A204" s="304" t="inlineStr">
        <is>
          <t>Alyona and Mex</t>
        </is>
      </c>
      <c r="B204" s="327">
        <f>HYPERLINK("http://codeforces.com/contest/682/problem/B","CF682-D2-B")</f>
        <v/>
      </c>
      <c r="C204" s="433" t="n"/>
      <c r="D204" s="418" t="n"/>
      <c r="E204" s="418" t="n"/>
      <c r="F204" s="418" t="n"/>
      <c r="G204" s="418" t="n"/>
      <c r="H204" s="418" t="n"/>
      <c r="I204" s="404">
        <f>SUM(E204:H204)</f>
        <v/>
      </c>
      <c r="J204" s="404" t="n"/>
      <c r="K204" s="404" t="n"/>
      <c r="L204" s="418" t="n"/>
      <c r="M204" s="295" t="n"/>
    </row>
    <row r="205" ht="15.75" customHeight="1" s="279">
      <c r="A205" s="304" t="inlineStr">
        <is>
          <t>Coins</t>
        </is>
      </c>
      <c r="B205" s="327">
        <f>HYPERLINK("http://codeforces.com/contest/58/problem/B","CF58-D2-B")</f>
        <v/>
      </c>
      <c r="C205" s="433" t="n"/>
      <c r="D205" s="418" t="n"/>
      <c r="E205" s="418" t="n"/>
      <c r="F205" s="418" t="n"/>
      <c r="G205" s="418" t="n"/>
      <c r="H205" s="418" t="n"/>
      <c r="I205" s="404">
        <f>SUM(E205:H205)</f>
        <v/>
      </c>
      <c r="J205" s="404" t="n"/>
      <c r="K205" s="404" t="n"/>
      <c r="L205" s="418" t="n"/>
      <c r="M205" s="295" t="n"/>
    </row>
    <row r="206" ht="15.75" customHeight="1" s="279">
      <c r="A206" s="304" t="inlineStr">
        <is>
          <t>Berland National Library</t>
        </is>
      </c>
      <c r="B206" s="327">
        <f>HYPERLINK("http://codeforces.com/contest/567/problem/B","CF567-D2-B")</f>
        <v/>
      </c>
      <c r="C206" s="433" t="n"/>
      <c r="D206" s="418" t="n"/>
      <c r="E206" s="418" t="n"/>
      <c r="F206" s="418" t="n"/>
      <c r="G206" s="418" t="n"/>
      <c r="H206" s="418" t="n"/>
      <c r="I206" s="404">
        <f>SUM(E206:H206)</f>
        <v/>
      </c>
      <c r="J206" s="404" t="n"/>
      <c r="K206" s="404" t="n"/>
      <c r="L206" s="418" t="n"/>
      <c r="M206" s="295" t="n"/>
    </row>
    <row r="207" ht="15.75" customHeight="1" s="279">
      <c r="A207" s="304" t="inlineStr">
        <is>
          <t>Art Union</t>
        </is>
      </c>
      <c r="B207" s="327">
        <f>HYPERLINK("http://codeforces.com/contest/416/problem/B","CF416-D2-B")</f>
        <v/>
      </c>
      <c r="C207" s="433" t="n"/>
      <c r="D207" s="418" t="n"/>
      <c r="E207" s="418" t="n"/>
      <c r="F207" s="418" t="n"/>
      <c r="G207" s="418" t="n"/>
      <c r="H207" s="418" t="n"/>
      <c r="I207" s="404">
        <f>SUM(E207:H207)</f>
        <v/>
      </c>
      <c r="J207" s="404" t="n"/>
      <c r="K207" s="404" t="n"/>
      <c r="L207" s="418" t="n"/>
      <c r="M207" s="295" t="n"/>
    </row>
    <row r="208" ht="15.75" customHeight="1" s="279">
      <c r="A208" s="304" t="n"/>
      <c r="C208" s="433" t="n"/>
      <c r="D208" s="418" t="n"/>
      <c r="E208" s="418" t="n"/>
      <c r="F208" s="418" t="n"/>
      <c r="G208" s="418" t="n"/>
      <c r="H208" s="418" t="n"/>
      <c r="I208" s="404">
        <f>SUM(E208:H208)</f>
        <v/>
      </c>
      <c r="J208" s="404" t="n"/>
      <c r="K208" s="404" t="n"/>
      <c r="L208" s="418" t="n"/>
      <c r="M208" s="295" t="n"/>
    </row>
    <row r="209" ht="15.75" customHeight="1" s="279">
      <c r="A209" s="304" t="inlineStr">
        <is>
          <t>BerSU Ball</t>
        </is>
      </c>
      <c r="B209" s="327">
        <f>HYPERLINK("http://codeforces.com/contest/489/problem/B","CF489-D2-B")</f>
        <v/>
      </c>
      <c r="C209" s="433" t="n"/>
      <c r="D209" s="418" t="n"/>
      <c r="E209" s="418" t="n"/>
      <c r="F209" s="418" t="n"/>
      <c r="G209" s="418" t="n"/>
      <c r="H209" s="418" t="n"/>
      <c r="I209" s="404">
        <f>SUM(E209:H209)</f>
        <v/>
      </c>
      <c r="J209" s="404" t="n"/>
      <c r="K209" s="404" t="n"/>
      <c r="L209" s="418" t="n"/>
      <c r="M209" s="295" t="n"/>
    </row>
    <row r="210" ht="15.75" customHeight="1" s="279">
      <c r="A210" s="304" t="inlineStr">
        <is>
          <t>Random Teams</t>
        </is>
      </c>
      <c r="B210" s="327">
        <f>HYPERLINK("http://codeforces.com/contest/478/problem/B","CF478-D2-B")</f>
        <v/>
      </c>
      <c r="C210" s="433" t="n"/>
      <c r="D210" s="418" t="n"/>
      <c r="E210" s="418" t="n"/>
      <c r="F210" s="418" t="n"/>
      <c r="G210" s="418" t="n"/>
      <c r="H210" s="418" t="n"/>
      <c r="I210" s="404">
        <f>SUM(E210:H210)</f>
        <v/>
      </c>
      <c r="J210" s="404" t="n"/>
      <c r="K210" s="404" t="n"/>
      <c r="L210" s="418" t="n"/>
      <c r="M210" s="295" t="n"/>
    </row>
    <row r="211" ht="15.75" customHeight="1" s="279">
      <c r="A211" s="304" t="inlineStr">
        <is>
          <t>Friends</t>
        </is>
      </c>
      <c r="B211" s="327">
        <f>HYPERLINK("http://codeforces.com/contest/94/problem/B","CF94-D2-B")</f>
        <v/>
      </c>
      <c r="C211" s="433" t="n"/>
      <c r="D211" s="418" t="n"/>
      <c r="E211" s="418" t="n"/>
      <c r="F211" s="418" t="n"/>
      <c r="G211" s="418" t="n"/>
      <c r="H211" s="418" t="n"/>
      <c r="I211" s="404">
        <f>SUM(E211:H211)</f>
        <v/>
      </c>
      <c r="J211" s="404" t="n"/>
      <c r="K211" s="404" t="n"/>
      <c r="L211" s="418" t="n"/>
      <c r="M211" s="295" t="n"/>
    </row>
    <row r="212" ht="15.75" customHeight="1" s="279">
      <c r="A212" s="304" t="inlineStr">
        <is>
          <t>War of the Corporations</t>
        </is>
      </c>
      <c r="B212" s="327">
        <f>HYPERLINK("http://codeforces.com/contest/625/problem/B","CF625-D2-B")</f>
        <v/>
      </c>
      <c r="C212" s="433" t="n"/>
      <c r="D212" s="418" t="n"/>
      <c r="E212" s="418" t="n"/>
      <c r="F212" s="418" t="n"/>
      <c r="G212" s="418" t="n"/>
      <c r="H212" s="418" t="n"/>
      <c r="I212" s="404">
        <f>SUM(E212:H212)</f>
        <v/>
      </c>
      <c r="J212" s="404" t="n"/>
      <c r="K212" s="404" t="n"/>
      <c r="L212" s="418" t="n"/>
      <c r="M212" s="295" t="n"/>
    </row>
    <row r="213" ht="15.75" customHeight="1" s="279">
      <c r="A213" s="304" t="inlineStr">
        <is>
          <t>Road Construction</t>
        </is>
      </c>
      <c r="B213" s="327">
        <f>HYPERLINK("http://codeforces.com/contest/330/problem/B","CF330-D2-B")</f>
        <v/>
      </c>
      <c r="C213" s="433" t="n"/>
      <c r="D213" s="418" t="n"/>
      <c r="E213" s="418" t="n"/>
      <c r="F213" s="418" t="n"/>
      <c r="G213" s="418" t="n"/>
      <c r="H213" s="418" t="n"/>
      <c r="I213" s="404">
        <f>SUM(E213:H213)</f>
        <v/>
      </c>
      <c r="J213" s="404" t="n"/>
      <c r="K213" s="404" t="n"/>
      <c r="L213" s="418" t="n"/>
      <c r="M213" s="295" t="n"/>
    </row>
    <row r="214" ht="15.75" customHeight="1" s="279">
      <c r="A214" s="304" t="inlineStr">
        <is>
          <t>Binary Number</t>
        </is>
      </c>
      <c r="B214" s="327">
        <f>HYPERLINK("http://codeforces.com/contest/92/problem/B","CF92-D2-B")</f>
        <v/>
      </c>
      <c r="C214" s="433" t="n"/>
      <c r="D214" s="418" t="n"/>
      <c r="E214" s="418" t="n"/>
      <c r="F214" s="418" t="n"/>
      <c r="G214" s="418" t="n"/>
      <c r="H214" s="418" t="n"/>
      <c r="I214" s="404">
        <f>SUM(E214:H214)</f>
        <v/>
      </c>
      <c r="J214" s="404" t="n"/>
      <c r="K214" s="404" t="n"/>
      <c r="L214" s="418" t="n"/>
      <c r="M214" s="295" t="n"/>
    </row>
    <row r="215" ht="15.75" customHeight="1" s="279">
      <c r="A215" s="304" t="inlineStr">
        <is>
          <t>Before an Exam</t>
        </is>
      </c>
      <c r="B215" s="327">
        <f>HYPERLINK("http://codeforces.com/contest/4/problem/B","CF4-D2-B")</f>
        <v/>
      </c>
      <c r="C215" s="433" t="n"/>
      <c r="D215" s="418" t="n"/>
      <c r="E215" s="418" t="n"/>
      <c r="F215" s="418" t="n"/>
      <c r="G215" s="418" t="n"/>
      <c r="H215" s="418" t="n"/>
      <c r="I215" s="404">
        <f>SUM(E215:H215)</f>
        <v/>
      </c>
      <c r="J215" s="404" t="n"/>
      <c r="K215" s="404" t="n"/>
      <c r="L215" s="418" t="n"/>
      <c r="M215" s="295" t="n"/>
    </row>
    <row r="216" ht="15.75" customHeight="1" s="279">
      <c r="A216" s="304" t="inlineStr">
        <is>
          <t>Running Student</t>
        </is>
      </c>
      <c r="B216" s="327">
        <f>HYPERLINK("http://codeforces.com/contest/9/problem/B","CF9-D2-B")</f>
        <v/>
      </c>
      <c r="C216" s="433" t="n"/>
      <c r="D216" s="418" t="n"/>
      <c r="E216" s="418" t="n"/>
      <c r="F216" s="418" t="n"/>
      <c r="G216" s="418" t="n"/>
      <c r="H216" s="418" t="n"/>
      <c r="I216" s="404">
        <f>SUM(E216:H216)</f>
        <v/>
      </c>
      <c r="J216" s="404" t="n"/>
      <c r="K216" s="404" t="n"/>
      <c r="L216" s="418" t="n"/>
      <c r="M216" s="295" t="n"/>
    </row>
    <row r="217" ht="15.75" customHeight="1" s="279">
      <c r="A217" s="304" t="inlineStr">
        <is>
          <t>Anton and currency you all know</t>
        </is>
      </c>
      <c r="B217" s="327">
        <f>HYPERLINK("http://codeforces.com/contest/508/problem/B","CF508-D2-B")</f>
        <v/>
      </c>
      <c r="C217" s="433" t="n"/>
      <c r="D217" s="418" t="n"/>
      <c r="E217" s="418" t="n"/>
      <c r="F217" s="418" t="n"/>
      <c r="G217" s="418" t="n"/>
      <c r="H217" s="418" t="n"/>
      <c r="I217" s="404">
        <f>SUM(E217:H217)</f>
        <v/>
      </c>
      <c r="J217" s="404" t="n"/>
      <c r="K217" s="404" t="n"/>
      <c r="L217" s="418" t="n"/>
      <c r="M217" s="295" t="n"/>
    </row>
    <row r="218" ht="15.75" customHeight="1" s="279">
      <c r="A218" s="304" t="inlineStr">
        <is>
          <t>Phone Numbers</t>
        </is>
      </c>
      <c r="B218" s="327">
        <f>HYPERLINK("http://codeforces.com/contest/151/problem/B","CF151-D2-B")</f>
        <v/>
      </c>
      <c r="C218" s="433" t="n"/>
      <c r="D218" s="418" t="n"/>
      <c r="E218" s="418" t="n"/>
      <c r="F218" s="418" t="n"/>
      <c r="G218" s="418" t="n"/>
      <c r="H218" s="418" t="n"/>
      <c r="I218" s="404">
        <f>SUM(E218:H218)</f>
        <v/>
      </c>
      <c r="J218" s="404" t="n"/>
      <c r="K218" s="404" t="n"/>
      <c r="L218" s="418" t="n"/>
      <c r="M218" s="295" t="n"/>
    </row>
  </sheetData>
  <mergeCells count="2">
    <mergeCell ref="J135:M135"/>
    <mergeCell ref="D135:G135"/>
  </mergeCells>
  <conditionalFormatting sqref="K3:K133 K137:K218">
    <cfRule type="cellIs" rank="0" priority="2" equalAverage="0" operator="equal" aboveAverage="0" dxfId="5" text="" percent="0" bottom="0">
      <formula>"No"</formula>
    </cfRule>
    <cfRule type="cellIs" rank="0" priority="3" equalAverage="0" operator="equal" aboveAverage="0" dxfId="5" text="" percent="0" bottom="0">
      <formula>"no"</formula>
    </cfRule>
    <cfRule type="cellIs" rank="0" priority="4" equalAverage="0" operator="equal" aboveAverage="0" dxfId="5" text="" percent="0" bottom="0">
      <formula>"NO"</formula>
    </cfRule>
  </conditionalFormatting>
  <conditionalFormatting sqref="C3:C218 C240:C291 D133">
    <cfRule type="cellIs" rank="0" priority="5" equalAverage="0" operator="equal" aboveAverage="0" dxfId="0" text="" percent="0" bottom="0">
      <formula>"AC"</formula>
    </cfRule>
  </conditionalFormatting>
  <conditionalFormatting sqref="C3:C133 C137:C218 D133">
    <cfRule type="containsText" rank="0" priority="6" equalAverage="0" operator="containsText" aboveAverage="0" dxfId="1" text="WA" percent="0" bottom="0">
      <formula>NOT(ISERROR(SEARCH("WA",C3)))</formula>
    </cfRule>
    <cfRule type="containsText" rank="0" priority="7" equalAverage="0" operator="containsText" aboveAverage="0" dxfId="2" text="TLE" percent="0" bottom="0">
      <formula>NOT(ISERROR(SEARCH("TLE",C3)))</formula>
    </cfRule>
    <cfRule type="containsText" rank="0" priority="8" equalAverage="0" operator="containsText" aboveAverage="0" dxfId="3" text="RTE" percent="0" bottom="0">
      <formula>NOT(ISERROR(SEARCH("RTE",C3)))</formula>
    </cfRule>
    <cfRule type="containsText" rank="0" priority="9" equalAverage="0" operator="containsText" aboveAverage="0" dxfId="4" text="CS" percent="0" bottom="0">
      <formula>NOT(ISERROR(SEARCH("CS",C3)))</formula>
    </cfRule>
  </conditionalFormatting>
  <conditionalFormatting sqref="C13:C218 C240:C291 D133">
    <cfRule type="containsText" rank="0" priority="10" equalAverage="0" operator="containsText" aboveAverage="0" dxfId="1" text="WA" percent="0" bottom="0">
      <formula>NOT(ISERROR(SEARCH("WA",C13)))</formula>
    </cfRule>
    <cfRule type="containsText" rank="0" priority="11" equalAverage="0" operator="containsText" aboveAverage="0" dxfId="2" text="TLE" percent="0" bottom="0">
      <formula>NOT(ISERROR(SEARCH("TLE",C13)))</formula>
    </cfRule>
    <cfRule type="containsText" rank="0" priority="12" equalAverage="0" operator="containsText" aboveAverage="0" dxfId="3" text="RTE" percent="0" bottom="0">
      <formula>NOT(ISERROR(SEARCH("RTE",C13)))</formula>
    </cfRule>
    <cfRule type="containsText" rank="0" priority="13" equalAverage="0" operator="containsText" aboveAverage="0" dxfId="4" text="CS" percent="0" bottom="0">
      <formula>NOT(ISERROR(SEARCH("CS",C13)))</formula>
    </cfRule>
  </conditionalFormatting>
  <dataValidations count="1">
    <dataValidation sqref="A1" showDropDown="0" showInputMessage="0" showErrorMessage="1" allowBlank="1" type="list" errorStyle="stop" operator="between">
      <formula1>"Option 1,Option 2"</formula1>
      <formula2>0</formula2>
    </dataValidation>
  </dataValidations>
  <hyperlinks>
    <hyperlink xmlns:r="http://schemas.openxmlformats.org/officeDocument/2006/relationships" ref="M5" display="Study STL" r:id="rId1"/>
    <hyperlink xmlns:r="http://schemas.openxmlformats.org/officeDocument/2006/relationships" ref="B44" display="UVA 10461" r:id="rId2"/>
    <hyperlink xmlns:r="http://schemas.openxmlformats.org/officeDocument/2006/relationships" ref="M44" display="Video Solution - Eng Moaz Rashad" r:id="rId3"/>
    <hyperlink xmlns:r="http://schemas.openxmlformats.org/officeDocument/2006/relationships" ref="B45" display="SPOJ POSTERIN" r:id="rId4"/>
    <hyperlink xmlns:r="http://schemas.openxmlformats.org/officeDocument/2006/relationships" ref="M56" display="Review - Recursion + Solve excersies" r:id="rId5"/>
    <hyperlink xmlns:r="http://schemas.openxmlformats.org/officeDocument/2006/relationships" ref="M57" display="Review - Recursion - Don't feel bad for missing half of it" r:id="rId6"/>
    <hyperlink xmlns:r="http://schemas.openxmlformats.org/officeDocument/2006/relationships" ref="M85" display="Video Solution - Eng Hussein Hesham" r:id="rId7"/>
    <hyperlink xmlns:r="http://schemas.openxmlformats.org/officeDocument/2006/relationships" ref="M108" display="Video Solution - Eng Khaled Mohamed" r:id="rId8"/>
    <hyperlink xmlns:r="http://schemas.openxmlformats.org/officeDocument/2006/relationships" ref="B109" display="Video Solution - Eng Mohamed Khaled " r:id="rId9"/>
    <hyperlink xmlns:r="http://schemas.openxmlformats.org/officeDocument/2006/relationships" ref="M109" display="Video Solution - Eng Mohamed Khaled " r:id="rId10"/>
    <hyperlink xmlns:r="http://schemas.openxmlformats.org/officeDocument/2006/relationships" ref="M112" display="Video Solution - Eng Mohamed Khaled " r:id="rId11"/>
    <hyperlink xmlns:r="http://schemas.openxmlformats.org/officeDocument/2006/relationships" ref="M113" display="Video Solution - Eng Mohamed Khaled " r:id="rId12"/>
    <hyperlink xmlns:r="http://schemas.openxmlformats.org/officeDocument/2006/relationships" ref="B133" display="UVA 1174" r:id="rId13"/>
  </hyperlinks>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M200"/>
  <sheetViews>
    <sheetView showFormulas="0" showGridLines="1" showRowColHeaders="1" showZeros="1" rightToLeft="0" tabSelected="0"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baseColWidth="8" defaultColWidth="15.12890625" defaultRowHeight="15.75" zeroHeight="0" outlineLevelRow="0"/>
  <cols>
    <col width="14.25" customWidth="1" style="278" min="1" max="1"/>
    <col width="15.38" customWidth="1" style="278" min="2" max="2"/>
    <col width="6" customWidth="1" style="278" min="3" max="3"/>
    <col width="6.88" customWidth="1" style="278" min="4" max="4"/>
    <col width="7.38" customWidth="1" style="278" min="5" max="5"/>
    <col width="7.63" customWidth="1" style="278" min="6" max="6"/>
    <col width="8.75" customWidth="1" style="278" min="7" max="7"/>
    <col width="7.5" customWidth="1" style="278" min="8" max="9"/>
    <col width="8.75" customWidth="1" style="278" min="10" max="12"/>
    <col width="68.25" customWidth="1" style="278" min="13" max="13"/>
  </cols>
  <sheetData>
    <row r="1" ht="45.75" customHeight="1" s="279">
      <c r="A1" s="456" t="inlineStr">
        <is>
          <t>Problem Name</t>
        </is>
      </c>
      <c r="B1" s="456" t="inlineStr">
        <is>
          <t>Problem Code</t>
        </is>
      </c>
      <c r="C1" s="401" t="inlineStr">
        <is>
          <t>Status</t>
        </is>
      </c>
      <c r="D1" s="401" t="inlineStr">
        <is>
          <t>Submit Count</t>
        </is>
      </c>
      <c r="E1" s="401" t="inlineStr">
        <is>
          <t>Reading Time(m)</t>
        </is>
      </c>
      <c r="F1" s="401" t="inlineStr">
        <is>
          <t>Thinking Time(m)</t>
        </is>
      </c>
      <c r="G1" s="401" t="inlineStr">
        <is>
          <t>Coding Time(m)</t>
        </is>
      </c>
      <c r="H1" s="401" t="inlineStr">
        <is>
          <t>Debug Time(m)</t>
        </is>
      </c>
      <c r="I1" s="401" t="inlineStr">
        <is>
          <t>Total Time(m)</t>
        </is>
      </c>
      <c r="J1" s="401" t="inlineStr">
        <is>
          <t>Problem Level /10</t>
        </is>
      </c>
      <c r="K1" s="401" t="inlineStr">
        <is>
          <t>By yourself?</t>
        </is>
      </c>
      <c r="L1" s="401" t="inlineStr">
        <is>
          <t>Category</t>
        </is>
      </c>
      <c r="M1" s="402" t="inlineStr">
        <is>
          <t>1-2 line Comments
About your approach</t>
        </is>
      </c>
    </row>
    <row r="2" ht="15.75" customHeight="1" s="279">
      <c r="A2" s="457" t="n"/>
      <c r="B2" s="295" t="inlineStr">
        <is>
          <t>AC Averages =&gt;</t>
        </is>
      </c>
      <c r="C2" s="405">
        <f>COUNTIF(C5:C10496, "AC")</f>
        <v/>
      </c>
      <c r="D2" s="405">
        <f>ROUND(SUMPRODUCT(D5:D10496,INT(eq(C5:C10496, "AC")))/MAX(1, C2),1)</f>
        <v/>
      </c>
      <c r="E2" s="405">
        <f>ROUND(SUMPRODUCT(E5:E10518,INT(eq(C5:C10518, "AC")))/MAX(1, C2),0)</f>
        <v/>
      </c>
      <c r="F2" s="405">
        <f>ROUND(SUMPRODUCT(F5:F10521,INT(eq(C5:C10521, "AC")))/MAX(1, C2),0)</f>
        <v/>
      </c>
      <c r="G2" s="405">
        <f>ROUND(SUMPRODUCT(G5:G10521,INT(eq(C5:C10521, "AC")))/MAX(1, C2),0)</f>
        <v/>
      </c>
      <c r="H2" s="405">
        <f>ROUND(SUMPRODUCT(H5:H10521,INT(eq(C5:C10521, "AC")))/MAX(1, C2),0)</f>
        <v/>
      </c>
      <c r="I2" s="405">
        <f>ROUND(SUMPRODUCT(I5:I10493,INT(eq(C5:C10493, "AC")))/MAX(1, C2),0)</f>
        <v/>
      </c>
      <c r="J2" s="405">
        <f>ROUND(SUMPRODUCT(J5:J10491,INT(eq(C5:C10491, "AC")))/MAX(1, C2),1)</f>
        <v/>
      </c>
      <c r="K2" s="405">
        <f>SUMPRODUCT(eq(K5:K10496, "YES"),INT(eq(C5:C10521, "AC")))</f>
        <v/>
      </c>
      <c r="L2" s="405">
        <f>IFERROR(__xludf.dummyfunction("COUNTA(FILTER(C5:C9988, NOT(REGEXMATCH(C5:C9988, ""AC""))))"),7)</f>
        <v/>
      </c>
      <c r="M2" s="406">
        <f>IFERROR(__xludf.dummyfunction("COUNTA(FILTER(C5:C9982, NOT(REGEXMATCH(C5:C9982, ""AC""))))"),7)</f>
        <v/>
      </c>
    </row>
    <row r="3" ht="15.75" customHeight="1" s="279">
      <c r="A3" s="304" t="n"/>
      <c r="B3" s="304" t="n"/>
      <c r="C3" s="418" t="n"/>
      <c r="D3" s="418" t="n"/>
      <c r="E3" s="418" t="n"/>
      <c r="F3" s="418" t="n"/>
      <c r="G3" s="418" t="n"/>
      <c r="H3" s="418" t="n"/>
      <c r="I3" s="404" t="n"/>
      <c r="J3" s="404" t="n"/>
      <c r="K3" s="404" t="n"/>
      <c r="L3" s="418" t="n"/>
      <c r="M3" s="295" t="inlineStr">
        <is>
          <t>DON'T Skip colored problems. Don't skip others unless a block is really easy for you</t>
        </is>
      </c>
    </row>
    <row r="4" ht="60.75" customHeight="1" s="279">
      <c r="A4" s="304" t="n"/>
      <c r="B4" s="304" t="n"/>
      <c r="C4" s="418" t="n"/>
      <c r="D4" s="418" t="n"/>
      <c r="E4" s="418" t="n"/>
      <c r="F4" s="418" t="n"/>
      <c r="G4" s="418" t="n"/>
      <c r="H4" s="418" t="n"/>
      <c r="I4" s="404" t="n"/>
      <c r="J4" s="404" t="n"/>
      <c r="K4" s="404" t="n"/>
      <c r="L4" s="418" t="n"/>
      <c r="M4" s="481" t="inlineStr">
        <is>
          <t>Remove the given link and write a comment. Start your comment with a classification for the problem: Useless, repeated idea, boring, normal, good problem, interesting problem or important problem.</t>
        </is>
      </c>
    </row>
    <row r="5" ht="15.75" customHeight="1" s="279">
      <c r="A5" s="304" t="inlineStr">
        <is>
          <t>Drazil and Factorial</t>
        </is>
      </c>
      <c r="B5" s="474">
        <f>HYPERLINK("http://codeforces.com/contest/515/problem/C","CF515-D2-C")</f>
        <v/>
      </c>
      <c r="C5" s="418" t="n"/>
      <c r="D5" s="418" t="n"/>
      <c r="E5" s="418" t="n"/>
      <c r="F5" s="418" t="n"/>
      <c r="G5" s="418" t="n"/>
      <c r="H5" s="418" t="n"/>
      <c r="I5" s="404">
        <f>SUM(E5:H5)</f>
        <v/>
      </c>
      <c r="J5" s="404" t="n"/>
      <c r="K5" s="404" t="n"/>
      <c r="L5" s="418" t="n"/>
      <c r="M5" s="419">
        <f>HYPERLINK("https://www.youtube.com/watch?v=QEh0ugyYPUw","Video Solution - Dr Mostafa Saad")</f>
        <v/>
      </c>
    </row>
    <row r="6" ht="15.75" customHeight="1" s="279">
      <c r="A6" s="295" t="inlineStr">
        <is>
          <t>Lucky Permutation Triple</t>
        </is>
      </c>
      <c r="B6" s="417">
        <f>HYPERLINK("http://codeforces.com/contest/304/problem/C","CF304-D2-C")</f>
        <v/>
      </c>
      <c r="C6" s="433" t="inlineStr">
        <is>
          <t>ac</t>
        </is>
      </c>
      <c r="D6" s="418" t="n">
        <v>1</v>
      </c>
      <c r="E6" s="418" t="n">
        <v>2</v>
      </c>
      <c r="F6" s="418" t="n">
        <v>10</v>
      </c>
      <c r="G6" s="418" t="n">
        <v>10</v>
      </c>
      <c r="H6" s="418" t="n"/>
      <c r="I6" s="404">
        <f>SUM(E6:H6)</f>
        <v/>
      </c>
      <c r="J6" s="295" t="n">
        <v>2</v>
      </c>
      <c r="K6" s="301" t="inlineStr">
        <is>
          <t>yes</t>
        </is>
      </c>
      <c r="L6" s="295" t="n"/>
      <c r="M6" s="301" t="inlineStr">
        <is>
          <t>even then odd pattern as per always</t>
        </is>
      </c>
    </row>
    <row r="7" ht="23.25" customHeight="1" s="279">
      <c r="A7" s="295" t="inlineStr">
        <is>
          <t>Soldier and Cards</t>
        </is>
      </c>
      <c r="B7" s="417">
        <f>HYPERLINK("http://codeforces.com/contest/546/problem/C","CF546-D2-C")</f>
        <v/>
      </c>
      <c r="C7" s="433" t="inlineStr">
        <is>
          <t>ac</t>
        </is>
      </c>
      <c r="D7" s="418" t="n">
        <v>1</v>
      </c>
      <c r="E7" s="418" t="n">
        <v>1</v>
      </c>
      <c r="F7" s="418" t="n">
        <v>4</v>
      </c>
      <c r="G7" s="418" t="n">
        <v>4</v>
      </c>
      <c r="H7" s="418" t="n"/>
      <c r="I7" s="404">
        <f>SUM(E7:H7)</f>
        <v/>
      </c>
      <c r="J7" s="295" t="n">
        <v>1</v>
      </c>
      <c r="K7" s="301" t="inlineStr">
        <is>
          <t>yes</t>
        </is>
      </c>
      <c r="L7" s="301" t="inlineStr">
        <is>
          <t>brute force</t>
        </is>
      </c>
      <c r="M7" s="301" t="inlineStr">
        <is>
          <t>wtf</t>
        </is>
      </c>
    </row>
    <row r="8" ht="15.75" customHeight="1" s="279">
      <c r="A8" s="295" t="inlineStr">
        <is>
          <t>Watchmen</t>
        </is>
      </c>
      <c r="B8" s="417">
        <f>HYPERLINK("http://codeforces.com/contest/651/problem/C","CF651-D2-C")</f>
        <v/>
      </c>
      <c r="C8" s="433" t="inlineStr">
        <is>
          <t>ac</t>
        </is>
      </c>
      <c r="D8" s="418" t="n">
        <v>1</v>
      </c>
      <c r="E8" s="418" t="n">
        <v>1</v>
      </c>
      <c r="F8" s="418" t="n">
        <v>6</v>
      </c>
      <c r="G8" s="418" t="n">
        <v>4</v>
      </c>
      <c r="H8" s="418" t="n"/>
      <c r="I8" s="404">
        <f>SUM(E8:H8)</f>
        <v/>
      </c>
      <c r="J8" s="295" t="n">
        <v>2</v>
      </c>
      <c r="K8" s="301" t="inlineStr">
        <is>
          <t>yes</t>
        </is>
      </c>
      <c r="L8" s="301" t="inlineStr">
        <is>
          <t>math</t>
        </is>
      </c>
      <c r="M8" s="301" t="inlineStr">
        <is>
          <t>nice math , oh yeah just realized this is inclusion exclusion</t>
        </is>
      </c>
    </row>
    <row r="9" ht="15.75" customHeight="1" s="279">
      <c r="A9" s="295" t="n"/>
      <c r="B9" s="417" t="n"/>
      <c r="C9" s="418" t="n"/>
      <c r="D9" s="418" t="n"/>
      <c r="E9" s="418" t="n"/>
      <c r="F9" s="418" t="n"/>
      <c r="G9" s="418" t="n"/>
      <c r="H9" s="418" t="n"/>
      <c r="I9" s="404">
        <f>SUM(E9:H9)</f>
        <v/>
      </c>
      <c r="J9" s="404" t="n"/>
      <c r="K9" s="404" t="n"/>
      <c r="L9" s="295" t="n"/>
      <c r="M9" s="417" t="n"/>
    </row>
    <row r="10" ht="15.75" customHeight="1" s="279">
      <c r="A10" s="304" t="n"/>
      <c r="B10" s="304" t="n"/>
      <c r="C10" s="418" t="n"/>
      <c r="D10" s="418" t="n"/>
      <c r="E10" s="418" t="n"/>
      <c r="F10" s="418" t="n"/>
      <c r="G10" s="418" t="n"/>
      <c r="H10" s="418" t="n"/>
      <c r="I10" s="404">
        <f>SUM(E10:H10)</f>
        <v/>
      </c>
      <c r="J10" s="404" t="n"/>
      <c r="K10" s="404" t="n"/>
      <c r="L10" s="418" t="n"/>
      <c r="M10" s="458">
        <f>HYPERLINK("https://www.youtube.com/watch?v=Tm_Vlkv4mOo","Watch - Thinking - Concretely - Symbolically - Pictorially ")</f>
        <v/>
      </c>
    </row>
    <row r="11" ht="15.75" customHeight="1" s="279">
      <c r="A11" s="304" t="n"/>
      <c r="B11" s="304" t="n"/>
      <c r="C11" s="418" t="n"/>
      <c r="D11" s="418" t="n"/>
      <c r="E11" s="418" t="n"/>
      <c r="F11" s="418" t="n"/>
      <c r="G11" s="418" t="n"/>
      <c r="H11" s="418" t="n"/>
      <c r="I11" s="404">
        <f>SUM(E11:H11)</f>
        <v/>
      </c>
      <c r="J11" s="404" t="n"/>
      <c r="K11" s="404" t="n"/>
      <c r="L11" s="418" t="n"/>
      <c r="M11" s="458">
        <f>HYPERLINK("https://www.youtube.com/watch?v=6Fx8T_NBA7Q","Watch - Thinking - Problem Constraints ")</f>
        <v/>
      </c>
    </row>
    <row r="12" ht="15.75" customHeight="1" s="279">
      <c r="A12" s="304" t="n"/>
      <c r="B12" s="304" t="n"/>
      <c r="C12" s="418" t="n"/>
      <c r="D12" s="418" t="n"/>
      <c r="E12" s="418" t="n"/>
      <c r="F12" s="418" t="n"/>
      <c r="G12" s="418" t="n"/>
      <c r="H12" s="418" t="n"/>
      <c r="I12" s="404">
        <f>SUM(E12:H12)</f>
        <v/>
      </c>
      <c r="J12" s="404" t="n"/>
      <c r="K12" s="404" t="n"/>
      <c r="L12" s="418" t="n"/>
      <c r="M12" s="458">
        <f>HYPERLINK("https://www.youtube.com/watch?v=VZBfW08ECgA","Watch - Number Theory - Primes")</f>
        <v/>
      </c>
    </row>
    <row r="13" ht="15.75" customHeight="1" s="279">
      <c r="A13" s="432" t="inlineStr">
        <is>
          <t>Fox Dividing Cheese</t>
        </is>
      </c>
      <c r="B13" s="462">
        <f>HYPERLINK("http://codeforces.com/contest/371/problem/B","CF371-D2-B")</f>
        <v/>
      </c>
      <c r="C13" s="433" t="inlineStr">
        <is>
          <t>ac</t>
        </is>
      </c>
      <c r="D13" s="418" t="n">
        <v>1</v>
      </c>
      <c r="E13" s="418" t="n">
        <v>4</v>
      </c>
      <c r="F13" s="418" t="n">
        <v>15</v>
      </c>
      <c r="G13" s="418" t="n">
        <v>8</v>
      </c>
      <c r="H13" s="418" t="n"/>
      <c r="I13" s="404">
        <f>SUM(E13:H13)</f>
        <v/>
      </c>
      <c r="J13" s="404" t="n">
        <v>3</v>
      </c>
      <c r="K13" s="404" t="n"/>
      <c r="L13" s="301" t="inlineStr">
        <is>
          <t>math</t>
        </is>
      </c>
      <c r="M13" s="419" t="inlineStr">
        <is>
          <t>it took abit long even though it is kinda obvious</t>
        </is>
      </c>
    </row>
    <row r="14" ht="15.75" customHeight="1" s="279">
      <c r="A14" s="432" t="inlineStr">
        <is>
          <t>Duff in Love</t>
        </is>
      </c>
      <c r="B14" s="462">
        <f>HYPERLINK("http://codeforces.com/contest/588/problem/B","CF588-D2-B")</f>
        <v/>
      </c>
      <c r="C14" s="433" t="inlineStr">
        <is>
          <t>ac</t>
        </is>
      </c>
      <c r="D14" s="418" t="n">
        <v>1</v>
      </c>
      <c r="E14" s="418" t="n">
        <v>4</v>
      </c>
      <c r="F14" s="418" t="n">
        <v>10</v>
      </c>
      <c r="G14" s="418" t="n">
        <v>2</v>
      </c>
      <c r="H14" s="418" t="n"/>
      <c r="I14" s="404">
        <f>SUM(E14:H14)</f>
        <v/>
      </c>
      <c r="J14" s="404" t="n">
        <v>2</v>
      </c>
      <c r="K14" s="404" t="inlineStr">
        <is>
          <t>yes</t>
        </is>
      </c>
      <c r="L14" s="301" t="inlineStr">
        <is>
          <t>math</t>
        </is>
      </c>
      <c r="M14" s="301" t="inlineStr">
        <is>
          <t>i can be smart yet stupid for not solving it fast enough</t>
        </is>
      </c>
    </row>
    <row r="15" ht="15.75" customHeight="1" s="279">
      <c r="A15" s="432" t="inlineStr">
        <is>
          <t>Twin Primes</t>
        </is>
      </c>
      <c r="B15" s="462">
        <f>HYPERLINK("https://uva.onlinejudge.org/index.php?option=onlinejudge&amp;page=show_problem&amp;problem=1335","UVA 10394")</f>
        <v/>
      </c>
      <c r="C15" s="433" t="inlineStr">
        <is>
          <t>ac</t>
        </is>
      </c>
      <c r="D15" s="418" t="n">
        <v>1</v>
      </c>
      <c r="E15" s="418" t="n">
        <v>2</v>
      </c>
      <c r="F15" s="418" t="n">
        <v>3</v>
      </c>
      <c r="G15" s="418" t="n">
        <v>4</v>
      </c>
      <c r="H15" s="418" t="n"/>
      <c r="I15" s="404">
        <f>SUM(E15:H15)</f>
        <v/>
      </c>
      <c r="J15" s="404" t="n">
        <v>1</v>
      </c>
      <c r="K15" s="404" t="n"/>
      <c r="L15" s="418" t="n"/>
      <c r="M15" s="421" t="inlineStr">
        <is>
          <t>just using seive</t>
        </is>
      </c>
    </row>
    <row r="16" ht="15.75" customHeight="1" s="279">
      <c r="A16" s="432" t="inlineStr">
        <is>
          <t xml:space="preserve">Summation of Four </t>
        </is>
      </c>
      <c r="B16" s="462">
        <f>HYPERLINK("https://uva.onlinejudge.org/index.php?option=onlinejudge&amp;page=show_problem&amp;problem=1109","UVA 10168")</f>
        <v/>
      </c>
      <c r="C16" s="433" t="inlineStr">
        <is>
          <t>ac</t>
        </is>
      </c>
      <c r="D16" s="418" t="n">
        <v>1</v>
      </c>
      <c r="E16" s="418" t="n">
        <v>2</v>
      </c>
      <c r="F16" s="418" t="n">
        <v>10</v>
      </c>
      <c r="G16" s="418" t="n">
        <v>9</v>
      </c>
      <c r="H16" s="418" t="n"/>
      <c r="I16" s="404">
        <f>SUM(E16:H16)</f>
        <v/>
      </c>
      <c r="J16" s="404" t="n">
        <v>1</v>
      </c>
      <c r="K16" s="404" t="inlineStr">
        <is>
          <t>yes</t>
        </is>
      </c>
      <c r="L16" s="433" t="inlineStr">
        <is>
          <t>math</t>
        </is>
      </c>
      <c r="M16" s="421" t="inlineStr">
        <is>
          <t>idk anymore</t>
        </is>
      </c>
    </row>
    <row r="17" ht="15.75" customHeight="1" s="279">
      <c r="A17" s="437" t="inlineStr">
        <is>
          <t>The Lottery</t>
        </is>
      </c>
      <c r="B17" s="438">
        <f>HYPERLINK("https://uva.onlinejudge.org/index.php?option=onlinejudge&amp;page=show_problem&amp;problem=1266","UVA 10325")</f>
        <v/>
      </c>
      <c r="C17" s="418" t="n"/>
      <c r="D17" s="418" t="n"/>
      <c r="E17" s="418" t="n"/>
      <c r="F17" s="418" t="n"/>
      <c r="G17" s="418" t="n"/>
      <c r="H17" s="418" t="n"/>
      <c r="I17" s="404">
        <f>SUM(E17:H17)</f>
        <v/>
      </c>
      <c r="J17" s="404" t="n"/>
      <c r="K17" s="404" t="n"/>
      <c r="L17" s="418" t="n"/>
      <c r="M17" s="421">
        <f>HYPERLINK("https://www.youtube.com/watch?v=OA_J9bFxJpU","Video Solution - Eng Amr Bahaa")</f>
        <v/>
      </c>
    </row>
    <row r="18" ht="15.75" customHeight="1" s="279">
      <c r="A18" s="437" t="inlineStr">
        <is>
          <t>Hamburgers</t>
        </is>
      </c>
      <c r="B18" s="438">
        <f>HYPERLINK("http://codeforces.com/contest/371/problem/C","CF371-D2-C")</f>
        <v/>
      </c>
      <c r="C18" s="418" t="n"/>
      <c r="D18" s="418" t="n"/>
      <c r="E18" s="418" t="n"/>
      <c r="F18" s="418" t="n"/>
      <c r="G18" s="418" t="n"/>
      <c r="H18" s="418" t="n"/>
      <c r="I18" s="404">
        <f>SUM(E18:H18)</f>
        <v/>
      </c>
      <c r="J18" s="404" t="n"/>
      <c r="K18" s="404" t="n"/>
      <c r="L18" s="418" t="n"/>
      <c r="M18" s="295" t="n"/>
    </row>
    <row r="19" ht="15.75" customHeight="1" s="279">
      <c r="A19" s="437" t="inlineStr">
        <is>
          <t>Mint</t>
        </is>
      </c>
      <c r="B19" s="438">
        <f>HYPERLINK("https://uva.onlinejudge.org/index.php?option=onlinejudge&amp;page=show_problem&amp;problem=1658","UVA 10717")</f>
        <v/>
      </c>
      <c r="C19" s="418" t="n"/>
      <c r="D19" s="418" t="n"/>
      <c r="E19" s="418" t="n"/>
      <c r="F19" s="418" t="n"/>
      <c r="G19" s="418" t="n"/>
      <c r="H19" s="418" t="n"/>
      <c r="I19" s="404">
        <f>SUM(E19:H19)</f>
        <v/>
      </c>
      <c r="J19" s="404" t="n"/>
      <c r="K19" s="404" t="n"/>
      <c r="L19" s="418" t="n"/>
      <c r="M19" s="474">
        <f>HYPERLINK("https://github.com/magdy-hasan/competitive-programming/blob/master/uva-/uva%2010717%20-%20Mint.cpp","Sol")</f>
        <v/>
      </c>
    </row>
    <row r="20" ht="15.75" customHeight="1" s="279">
      <c r="A20" s="437" t="inlineStr">
        <is>
          <t>BITMAP - Bitmap</t>
        </is>
      </c>
      <c r="B20" s="317">
        <f>HYPERLINK("http://www.spoj.com/problems/BITMAP/","SPOJ BITMAP")</f>
        <v/>
      </c>
      <c r="C20" s="418" t="n"/>
      <c r="D20" s="418" t="n"/>
      <c r="E20" s="418" t="n"/>
      <c r="F20" s="418" t="n"/>
      <c r="G20" s="418" t="n"/>
      <c r="H20" s="418" t="n"/>
      <c r="I20" s="404">
        <f>SUM(E20:H20)</f>
        <v/>
      </c>
      <c r="J20" s="295" t="n"/>
      <c r="K20" s="295" t="n"/>
      <c r="L20" s="295" t="n"/>
      <c r="M20" s="474">
        <f>HYPERLINK("https://github.com/omarkhair/Problems-Editorial/blob/master/SPOJ/Bitmap/Editorial.md","Editorial")</f>
        <v/>
      </c>
    </row>
    <row r="21" ht="15.75" customHeight="1" s="279">
      <c r="A21" s="437" t="n"/>
      <c r="B21" s="438">
        <f>HYPERLINK("https://www.codechef.com/problems/GCDMOD", "CODECHEF GCDMOD")</f>
        <v/>
      </c>
      <c r="C21" s="418" t="n"/>
      <c r="D21" s="418" t="n"/>
      <c r="E21" s="418" t="n"/>
      <c r="F21" s="418" t="n"/>
      <c r="G21" s="418" t="n"/>
      <c r="H21" s="418" t="n"/>
      <c r="I21" s="404">
        <f>SUM(E21:H21)</f>
        <v/>
      </c>
      <c r="J21" s="295" t="n"/>
      <c r="K21" s="295" t="n"/>
      <c r="L21" s="295" t="n"/>
      <c r="M21" s="474">
        <f>HYPERLINK("https://github.com/tmwilliamlin168/CompetitiveProgramming/blob/master/CodeChef/GCDMOD.cpp","Sol uses __int128 to avoid overflow")</f>
        <v/>
      </c>
    </row>
    <row r="22" ht="15.75" customHeight="1" s="279">
      <c r="A22" s="437" t="n"/>
      <c r="B22" s="317" t="inlineStr">
        <is>
          <t>UVA 10843</t>
        </is>
      </c>
      <c r="C22" s="418" t="n"/>
      <c r="D22" s="418" t="n"/>
      <c r="E22" s="418" t="n"/>
      <c r="F22" s="418" t="n"/>
      <c r="G22" s="418" t="n"/>
      <c r="H22" s="418" t="n"/>
      <c r="I22" s="404">
        <f>SUM(E22:H22)</f>
        <v/>
      </c>
      <c r="J22" s="295" t="n"/>
      <c r="K22" s="295" t="n"/>
      <c r="L22" s="295" t="n"/>
      <c r="M22" s="474">
        <f>HYPERLINK("https://www.geeksforgeeks.org/total-number-spanning-trees-graph/","Theory result to read")</f>
        <v/>
      </c>
    </row>
    <row r="23" ht="15.75" customHeight="1" s="279">
      <c r="A23" s="482" t="inlineStr">
        <is>
          <t>The Child and Set</t>
        </is>
      </c>
      <c r="B23" s="318">
        <f>HYPERLINK("http://codeforces.com/contest/437/problem/B","CF437-D2-B")</f>
        <v/>
      </c>
      <c r="C23" s="418" t="n"/>
      <c r="D23" s="418" t="n"/>
      <c r="E23" s="418" t="n"/>
      <c r="F23" s="418" t="n"/>
      <c r="G23" s="418" t="n"/>
      <c r="H23" s="418" t="n"/>
      <c r="I23" s="404">
        <f>SUM(E23:H23)</f>
        <v/>
      </c>
      <c r="J23" s="295" t="n"/>
      <c r="K23" s="295" t="n"/>
      <c r="L23" s="295" t="n"/>
      <c r="M23" s="295" t="n"/>
    </row>
    <row r="24" ht="15.75" customHeight="1" s="279">
      <c r="A24" s="482" t="inlineStr">
        <is>
          <t>Tanya and Postcard</t>
        </is>
      </c>
      <c r="B24" s="318">
        <f>HYPERLINK("http://codeforces.com/contest/518/problem/B","CF518-D2-B")</f>
        <v/>
      </c>
      <c r="C24" s="418" t="n"/>
      <c r="D24" s="418" t="n"/>
      <c r="E24" s="418" t="n"/>
      <c r="F24" s="418" t="n"/>
      <c r="G24" s="418" t="n"/>
      <c r="H24" s="418" t="n"/>
      <c r="I24" s="404">
        <f>SUM(E24:H24)</f>
        <v/>
      </c>
      <c r="J24" s="295" t="n"/>
      <c r="K24" s="295" t="n"/>
      <c r="L24" s="295" t="n"/>
      <c r="M24" s="295" t="n"/>
    </row>
    <row r="25" ht="15.75" customHeight="1" s="279">
      <c r="A25" s="304" t="n"/>
      <c r="B25" s="304" t="n"/>
      <c r="C25" s="418" t="n"/>
      <c r="D25" s="418" t="n"/>
      <c r="E25" s="418" t="n"/>
      <c r="F25" s="418" t="n"/>
      <c r="G25" s="418" t="n"/>
      <c r="H25" s="418" t="n"/>
      <c r="I25" s="404">
        <f>SUM(E25:H25)</f>
        <v/>
      </c>
      <c r="J25" s="404" t="n"/>
      <c r="K25" s="404" t="n"/>
      <c r="L25" s="418" t="n"/>
      <c r="M25" s="295" t="n"/>
    </row>
    <row r="26" ht="15.75" customHeight="1" s="279">
      <c r="A26" s="295" t="inlineStr">
        <is>
          <t>Greg and Array</t>
        </is>
      </c>
      <c r="B26" s="417">
        <f>HYPERLINK("http://codeforces.com/contest/296/problem/C","CF296-D2-C")</f>
        <v/>
      </c>
      <c r="C26" s="295" t="n"/>
      <c r="D26" s="295" t="n"/>
      <c r="E26" s="295" t="n"/>
      <c r="F26" s="295" t="n"/>
      <c r="G26" s="295" t="n"/>
      <c r="H26" s="295" t="n"/>
      <c r="I26" s="418">
        <f>SUM(E26:H26)</f>
        <v/>
      </c>
      <c r="J26" s="295" t="n"/>
      <c r="K26" s="295" t="n"/>
      <c r="L26" s="295" t="n"/>
      <c r="M26" s="295" t="n"/>
    </row>
    <row r="27" ht="15.75" customHeight="1" s="279">
      <c r="A27" s="295" t="inlineStr">
        <is>
          <t>The World is a Theatre</t>
        </is>
      </c>
      <c r="B27" s="417">
        <f>HYPERLINK("http://codeforces.com/contest/131/problem/C","CF131-D2-C")</f>
        <v/>
      </c>
      <c r="C27" s="418" t="n"/>
      <c r="D27" s="418" t="n"/>
      <c r="E27" s="418" t="n"/>
      <c r="F27" s="418" t="n"/>
      <c r="G27" s="418" t="n"/>
      <c r="H27" s="418" t="n"/>
      <c r="I27" s="404">
        <f>SUM(E27:H27)</f>
        <v/>
      </c>
      <c r="J27" s="295" t="n"/>
      <c r="K27" s="295" t="n"/>
      <c r="L27" s="295" t="n"/>
      <c r="M27" s="417">
        <f>HYPERLINK("https://www.youtube.com/watch?v=96OYl0On3hc","Video Solution - Eng Youssef Ali")</f>
        <v/>
      </c>
    </row>
    <row r="28" ht="15.75" customHeight="1" s="279">
      <c r="A28" s="295" t="inlineStr">
        <is>
          <t>Trains</t>
        </is>
      </c>
      <c r="B28" s="417">
        <f>HYPERLINK("http://codeforces.com/contest/88/problem/C","CF88-D2-C")</f>
        <v/>
      </c>
      <c r="C28" s="418" t="n"/>
      <c r="D28" s="418" t="n"/>
      <c r="E28" s="418" t="n"/>
      <c r="F28" s="418" t="n"/>
      <c r="G28" s="418" t="n"/>
      <c r="H28" s="418" t="n"/>
      <c r="I28" s="404">
        <f>SUM(E28:H28)</f>
        <v/>
      </c>
      <c r="J28" s="295" t="n"/>
      <c r="K28" s="295" t="n"/>
      <c r="L28" s="295" t="n"/>
      <c r="M28" s="417">
        <f>HYPERLINK("https://www.youtube.com/watch?v=YiM38hyILmc","Video Solution - Solver to be (Java)")</f>
        <v/>
      </c>
    </row>
    <row r="29" ht="15.75" customHeight="1" s="279">
      <c r="A29" s="482" t="inlineStr">
        <is>
          <t>Semifinals</t>
        </is>
      </c>
      <c r="B29" s="318">
        <f>HYPERLINK("http://codeforces.com/contest/378/problem/B","CF378-D2-B")</f>
        <v/>
      </c>
      <c r="C29" s="418" t="n"/>
      <c r="D29" s="418" t="n"/>
      <c r="E29" s="418" t="n"/>
      <c r="F29" s="418" t="n"/>
      <c r="G29" s="418" t="n"/>
      <c r="H29" s="418" t="n"/>
      <c r="I29" s="404">
        <f>SUM(E29:H29)</f>
        <v/>
      </c>
      <c r="J29" s="295" t="n"/>
      <c r="K29" s="295" t="n"/>
      <c r="L29" s="295" t="n"/>
      <c r="M29" s="417" t="n"/>
    </row>
    <row r="30" ht="15.75" customHeight="1" s="279">
      <c r="A30" s="482" t="inlineStr">
        <is>
          <t>Towers</t>
        </is>
      </c>
      <c r="B30" s="318">
        <f>HYPERLINK("http://codeforces.com/contest/479/problem/B","CF479-D2-B")</f>
        <v/>
      </c>
      <c r="C30" s="418" t="n"/>
      <c r="D30" s="418" t="n"/>
      <c r="E30" s="418" t="n"/>
      <c r="F30" s="418" t="n"/>
      <c r="G30" s="418" t="n"/>
      <c r="H30" s="418" t="n"/>
      <c r="I30" s="404">
        <f>SUM(E30:H30)</f>
        <v/>
      </c>
      <c r="J30" s="295" t="n"/>
      <c r="K30" s="295" t="n"/>
      <c r="L30" s="295" t="n"/>
      <c r="M30" s="417" t="n"/>
    </row>
    <row r="31" ht="15.75" customHeight="1" s="279">
      <c r="A31" s="304" t="n"/>
      <c r="B31" s="304" t="n"/>
      <c r="C31" s="418" t="n"/>
      <c r="D31" s="418" t="n"/>
      <c r="E31" s="418" t="n"/>
      <c r="F31" s="418" t="n"/>
      <c r="G31" s="418" t="n"/>
      <c r="H31" s="418" t="n"/>
      <c r="I31" s="404">
        <f>SUM(E31:H31)</f>
        <v/>
      </c>
      <c r="J31" s="404" t="n"/>
      <c r="K31" s="404" t="n"/>
      <c r="L31" s="418" t="n"/>
      <c r="M31" s="458">
        <f>HYPERLINK("https://www.youtube.com/watch?v=jxvaNAthWRI","Watch - Algebra - Number Bases and Polynomials")</f>
        <v/>
      </c>
    </row>
    <row r="32" ht="15.75" customHeight="1" s="279">
      <c r="A32" s="449" t="inlineStr">
        <is>
          <t>To Carry or not to Carry</t>
        </is>
      </c>
      <c r="B32" s="483">
        <f>HYPERLINK("https://uva.onlinejudge.org/index.php?option=onlinejudge&amp;page=show_problem&amp;problem=1410","UVA 10469")</f>
        <v/>
      </c>
      <c r="C32" s="418" t="n"/>
      <c r="D32" s="418" t="n"/>
      <c r="E32" s="418" t="n"/>
      <c r="F32" s="418" t="n"/>
      <c r="G32" s="418" t="n"/>
      <c r="H32" s="418" t="n"/>
      <c r="I32" s="404">
        <f>SUM(E32:H32)</f>
        <v/>
      </c>
      <c r="J32" s="404" t="n"/>
      <c r="K32" s="404" t="n"/>
      <c r="L32" s="404" t="n"/>
      <c r="M32" s="474">
        <f>HYPERLINK("https://github.com/Diusrex/UVA-Solutions/blob/master/10469%20To%20Carry%20or%20not%20to%20Carry.cpp","Sol")</f>
        <v/>
      </c>
    </row>
    <row r="33" ht="15.75" customHeight="1" s="279">
      <c r="A33" s="432" t="inlineStr">
        <is>
          <t>Beat the Spread!</t>
        </is>
      </c>
      <c r="B33" s="462">
        <f>HYPERLINK("https://uva.onlinejudge.org/index.php?option=onlinejudge&amp;page=show_problem&amp;problem=1753","UVA 10812")</f>
        <v/>
      </c>
      <c r="C33" s="418" t="n"/>
      <c r="D33" s="418" t="n"/>
      <c r="E33" s="418" t="n"/>
      <c r="F33" s="418" t="n"/>
      <c r="G33" s="418" t="n"/>
      <c r="H33" s="418" t="n"/>
      <c r="I33" s="404">
        <f>SUM(E33:H33)</f>
        <v/>
      </c>
      <c r="J33" s="404" t="n"/>
      <c r="K33" s="404" t="n"/>
      <c r="L33" s="418" t="n"/>
      <c r="M33" s="304" t="n"/>
    </row>
    <row r="34" ht="15.75" customHeight="1" s="279">
      <c r="A34" s="432" t="inlineStr">
        <is>
          <t>Summation of Polynomials</t>
        </is>
      </c>
      <c r="B34" s="462">
        <f>HYPERLINK("https://uva.onlinejudge.org/index.php?option=onlinejudge&amp;page=show_problem&amp;problem=1243","UVA 10302")</f>
        <v/>
      </c>
      <c r="C34" s="418" t="n"/>
      <c r="D34" s="418" t="n"/>
      <c r="E34" s="418" t="n"/>
      <c r="F34" s="418" t="n"/>
      <c r="G34" s="418" t="n"/>
      <c r="H34" s="418" t="n"/>
      <c r="I34" s="404">
        <f>SUM(E34:H34)</f>
        <v/>
      </c>
      <c r="J34" s="404" t="n"/>
      <c r="K34" s="404" t="n"/>
      <c r="L34" s="418" t="n"/>
      <c r="M34" s="304" t="n"/>
    </row>
    <row r="35" ht="15.75" customHeight="1" s="279">
      <c r="A35" s="432" t="inlineStr">
        <is>
          <t>Polly the Polynomial</t>
        </is>
      </c>
      <c r="B35" s="462">
        <f>HYPERLINK("https://uva.onlinejudge.org/index.php?option=com_onlinejudge&amp;Itemid=8&amp;page=show_problem&amp;problem=439","UVA 498")</f>
        <v/>
      </c>
      <c r="C35" s="418" t="n"/>
      <c r="D35" s="418" t="n"/>
      <c r="E35" s="418" t="n"/>
      <c r="F35" s="418" t="n"/>
      <c r="G35" s="418" t="n"/>
      <c r="H35" s="418" t="n"/>
      <c r="I35" s="404">
        <f>SUM(E35:H35)</f>
        <v/>
      </c>
      <c r="J35" s="404" t="n"/>
      <c r="K35" s="404" t="n"/>
      <c r="L35" s="418" t="n"/>
      <c r="M35" s="295" t="n"/>
    </row>
    <row r="36" ht="15.75" customHeight="1" s="279">
      <c r="A36" s="317" t="n"/>
      <c r="B36" s="317">
        <f>HYPERLINK("https://uva.onlinejudge.org/index.php?option=onlinejudge&amp;page=show_problem&amp;problem=1994","UVA 11053")</f>
        <v/>
      </c>
      <c r="C36" s="418" t="n"/>
      <c r="D36" s="418" t="n"/>
      <c r="E36" s="418" t="n"/>
      <c r="F36" s="418" t="n"/>
      <c r="G36" s="418" t="n"/>
      <c r="H36" s="418" t="n"/>
      <c r="I36" s="404">
        <f>SUM(E36:H36)</f>
        <v/>
      </c>
      <c r="J36" s="404" t="n"/>
      <c r="K36" s="404" t="n"/>
      <c r="L36" s="418" t="n"/>
      <c r="M36" s="474">
        <f>HYPERLINK("https://en.wikipedia.org/wiki/Cycle_detection#Floyd.27s_Tortoise_and_Hare","Find O(n) Solution")</f>
        <v/>
      </c>
    </row>
    <row r="37" ht="15.75" customHeight="1" s="279">
      <c r="A37" s="317" t="n"/>
      <c r="B37" s="317">
        <f>HYPERLINK("https://icpcarchive.ecs.baylor.edu/index.php?option=com_onlinejudge&amp;Itemid=8&amp;page=show_problem&amp;problem=6100","LiveArchive 8078")</f>
        <v/>
      </c>
      <c r="C37" s="418" t="n"/>
      <c r="D37" s="418" t="n"/>
      <c r="E37" s="418" t="n"/>
      <c r="F37" s="418" t="n"/>
      <c r="G37" s="418" t="n"/>
      <c r="H37" s="418" t="n"/>
      <c r="I37" s="404">
        <f>SUM(E37:H37)</f>
        <v/>
      </c>
      <c r="J37" s="404" t="n"/>
      <c r="K37" s="404" t="n"/>
      <c r="L37" s="418" t="n"/>
      <c r="M37" s="474">
        <f>HYPERLINK("https://github.com/goswami-rahul/competitive-coding/blob/master/CompetitiveProgramming/livearchive/8078.cpp","Sol")</f>
        <v/>
      </c>
    </row>
    <row r="38" ht="15.75" customHeight="1" s="279">
      <c r="A38" s="295" t="n"/>
      <c r="B38" s="295" t="n"/>
      <c r="C38" s="418" t="n"/>
      <c r="D38" s="418" t="n"/>
      <c r="E38" s="418" t="n"/>
      <c r="F38" s="418" t="n"/>
      <c r="G38" s="418" t="n"/>
      <c r="H38" s="418" t="n"/>
      <c r="I38" s="404">
        <f>SUM(E38:H38)</f>
        <v/>
      </c>
      <c r="J38" s="404" t="n"/>
      <c r="K38" s="404" t="n"/>
      <c r="L38" s="418" t="n"/>
      <c r="M38" s="458">
        <f>HYPERLINK("https://www.youtube.com/watch?v=O2SPaQXYHFc","Watch - Algebra - Patterns in Sequences")</f>
        <v/>
      </c>
    </row>
    <row r="39" ht="15.75" customHeight="1" s="279">
      <c r="A39" s="432" t="inlineStr">
        <is>
          <t>R U Kidding Mr. Feynman?</t>
        </is>
      </c>
      <c r="B39" s="462">
        <f>HYPERLINK("https://uva.onlinejudge.org/index.php?option=onlinejudge&amp;page=show_problem&amp;problem=1450","UVA 10509")</f>
        <v/>
      </c>
      <c r="C39" s="418" t="n"/>
      <c r="D39" s="418" t="n"/>
      <c r="E39" s="418" t="n"/>
      <c r="F39" s="418" t="n"/>
      <c r="G39" s="418" t="n"/>
      <c r="H39" s="418" t="n"/>
      <c r="I39" s="404">
        <f>SUM(E39:H39)</f>
        <v/>
      </c>
      <c r="J39" s="404" t="n"/>
      <c r="K39" s="404" t="n"/>
      <c r="L39" s="418" t="n"/>
      <c r="M39" s="421" t="n"/>
    </row>
    <row r="40" ht="15.75" customHeight="1" s="279">
      <c r="A40" s="437" t="inlineStr">
        <is>
          <t>Wandering Queen</t>
        </is>
      </c>
      <c r="B40" s="317">
        <f>HYPERLINK("http://www.spoj.com/problems/QUEEN/","SPOJ QUEEN")</f>
        <v/>
      </c>
      <c r="C40" s="418" t="n"/>
      <c r="D40" s="418" t="n"/>
      <c r="E40" s="418" t="n"/>
      <c r="F40" s="418" t="n"/>
      <c r="G40" s="418" t="n"/>
      <c r="H40" s="418" t="n"/>
      <c r="I40" s="404">
        <f>SUM(E40:H40)</f>
        <v/>
      </c>
      <c r="J40" s="295" t="n"/>
      <c r="K40" s="295" t="n"/>
      <c r="L40" s="295" t="n"/>
      <c r="M40" s="419">
        <f>HYPERLINK("https://github.com/magdy-hasan/competitive-programming/blob/master/SPOJ/SPOJ%20QUEEN%20-%20Wandering%20Queen.cpp","Sol to read")</f>
        <v/>
      </c>
    </row>
    <row r="41" ht="15.75" customHeight="1" s="279">
      <c r="A41" s="437" t="n"/>
      <c r="B41" s="438">
        <f>HYPERLINK("https://www.hackerrank.com/challenges/sherlock-and-probability","HACKR sherlock-and-probability")</f>
        <v/>
      </c>
      <c r="C41" s="418" t="n"/>
      <c r="D41" s="418" t="n"/>
      <c r="E41" s="418" t="n"/>
      <c r="F41" s="418" t="n"/>
      <c r="G41" s="418" t="n"/>
      <c r="H41" s="418" t="n"/>
      <c r="I41" s="404">
        <f>SUM(E41:H41)</f>
        <v/>
      </c>
      <c r="J41" s="295" t="n"/>
      <c r="K41" s="295" t="n"/>
      <c r="L41" s="295" t="n"/>
      <c r="M41" s="474">
        <f>HYPERLINK("https://github.com/MohamedNabil97/CompetitiveProgramming/blob/master/Hackerrank/sherlock-and-probability.cpp","Sol")</f>
        <v/>
      </c>
    </row>
    <row r="42" ht="15.75" customHeight="1" s="279">
      <c r="A42" s="295" t="n"/>
      <c r="B42" s="417" t="n"/>
      <c r="C42" s="418" t="n"/>
      <c r="D42" s="418" t="n"/>
      <c r="E42" s="418" t="n"/>
      <c r="F42" s="418" t="n"/>
      <c r="G42" s="418" t="n"/>
      <c r="H42" s="418" t="n"/>
      <c r="I42" s="404">
        <f>SUM(E42:H42)</f>
        <v/>
      </c>
      <c r="J42" s="404" t="n"/>
      <c r="K42" s="404" t="n"/>
      <c r="L42" s="418" t="n"/>
      <c r="M42" s="458">
        <f>HYPERLINK("https://www.youtube.com/watch?v=xY8To84R87Y","Watch - Algebra - Summations")</f>
        <v/>
      </c>
    </row>
    <row r="43" ht="15.75" customHeight="1" s="279">
      <c r="A43" s="295" t="n"/>
      <c r="B43" s="417" t="n"/>
      <c r="C43" s="418" t="n"/>
      <c r="D43" s="418" t="n"/>
      <c r="E43" s="418" t="n"/>
      <c r="F43" s="418" t="n"/>
      <c r="G43" s="418" t="n"/>
      <c r="H43" s="418" t="n"/>
      <c r="I43" s="404">
        <f>SUM(E43:H43)</f>
        <v/>
      </c>
      <c r="J43" s="404" t="n"/>
      <c r="K43" s="404" t="n"/>
      <c r="L43" s="418" t="n"/>
      <c r="M43" s="458">
        <f>HYPERLINK("https://www.youtube.com/watch?v=OcqD14kI3Wk","Watch - Algebra - Basic Matrix Operations")</f>
        <v/>
      </c>
    </row>
    <row r="44" ht="15.75" customHeight="1" s="279">
      <c r="A44" s="304" t="inlineStr">
        <is>
          <t>Searching for Graph</t>
        </is>
      </c>
      <c r="B44" s="474">
        <f>HYPERLINK("http://codeforces.com/contest/402/problem/C","CF402-D2-C")</f>
        <v/>
      </c>
      <c r="C44" s="418" t="n"/>
      <c r="D44" s="418" t="n"/>
      <c r="E44" s="418" t="n"/>
      <c r="F44" s="418" t="n"/>
      <c r="G44" s="418" t="n"/>
      <c r="H44" s="418" t="n"/>
      <c r="I44" s="404">
        <f>SUM(E44:H44)</f>
        <v/>
      </c>
      <c r="J44" s="404" t="n"/>
      <c r="K44" s="404" t="n"/>
      <c r="L44" s="418" t="n"/>
      <c r="M44" s="304" t="n"/>
    </row>
    <row r="45" ht="15.75" customHeight="1" s="279">
      <c r="A45" s="295" t="inlineStr">
        <is>
          <t>Flying Saucer Segments</t>
        </is>
      </c>
      <c r="B45" s="417">
        <f>HYPERLINK("http://codeforces.com/contest/227/problem/C","CF227-D2-C")</f>
        <v/>
      </c>
      <c r="C45" s="418" t="n"/>
      <c r="D45" s="418" t="n"/>
      <c r="E45" s="418" t="n"/>
      <c r="F45" s="418" t="n"/>
      <c r="G45" s="418" t="n"/>
      <c r="H45" s="418" t="n"/>
      <c r="I45" s="404">
        <f>SUM(E45:H45)</f>
        <v/>
      </c>
      <c r="J45" s="404" t="n"/>
      <c r="K45" s="404" t="n"/>
      <c r="L45" s="295" t="n"/>
      <c r="M45" s="295" t="n"/>
    </row>
    <row r="46" ht="15.75" customHeight="1" s="279">
      <c r="A46" s="295" t="inlineStr">
        <is>
          <t>Vasya and Petya's Game</t>
        </is>
      </c>
      <c r="B46" s="417">
        <f>HYPERLINK("http://codeforces.com/contest/577/problem/C","CF577-D2-C")</f>
        <v/>
      </c>
      <c r="C46" s="418" t="n"/>
      <c r="D46" s="418" t="n"/>
      <c r="E46" s="418" t="n"/>
      <c r="F46" s="418" t="n"/>
      <c r="G46" s="418" t="n"/>
      <c r="H46" s="418" t="n"/>
      <c r="I46" s="404">
        <f>SUM(E46:H46)</f>
        <v/>
      </c>
      <c r="J46" s="404" t="n"/>
      <c r="K46" s="404" t="n"/>
      <c r="L46" s="295" t="n"/>
      <c r="M46" s="295" t="n"/>
    </row>
    <row r="47" ht="15.75" customHeight="1" s="279">
      <c r="A47" s="304" t="inlineStr">
        <is>
          <t>Round Table Knights</t>
        </is>
      </c>
      <c r="B47" s="474">
        <f>HYPERLINK("http://codeforces.com/contest/71/problem/C","CF71-D2-C")</f>
        <v/>
      </c>
      <c r="C47" s="418" t="n"/>
      <c r="D47" s="418" t="n"/>
      <c r="E47" s="418" t="n"/>
      <c r="F47" s="418" t="n"/>
      <c r="G47" s="418" t="n"/>
      <c r="H47" s="418" t="n"/>
      <c r="I47" s="404">
        <f>SUM(E47:H47)</f>
        <v/>
      </c>
      <c r="J47" s="404" t="n"/>
      <c r="K47" s="404" t="n"/>
      <c r="L47" s="418" t="n"/>
      <c r="M47" s="304" t="n"/>
    </row>
    <row r="48" ht="15.75" customHeight="1" s="279">
      <c r="A48" s="304" t="inlineStr">
        <is>
          <t>Kefa and Park</t>
        </is>
      </c>
      <c r="B48" s="474">
        <f>HYPERLINK("http://codeforces.com/contest/580/problem/C","CF580-D2-C")</f>
        <v/>
      </c>
      <c r="C48" s="418" t="n"/>
      <c r="D48" s="418" t="n"/>
      <c r="E48" s="418" t="n"/>
      <c r="F48" s="418" t="n"/>
      <c r="G48" s="418" t="n"/>
      <c r="H48" s="418" t="n"/>
      <c r="I48" s="404">
        <f>SUM(E48:H48)</f>
        <v/>
      </c>
      <c r="J48" s="404" t="n"/>
      <c r="K48" s="404" t="n"/>
      <c r="L48" s="418" t="n"/>
      <c r="M48" s="419">
        <f>HYPERLINK("https://www.youtube.com/watch?v=ebC3c-YJDIk","Video Solution - Solver to be (Java)")</f>
        <v/>
      </c>
    </row>
    <row r="49" ht="15.75" customHeight="1" s="279">
      <c r="A49" s="295" t="inlineStr">
        <is>
          <t>Knight Tournament</t>
        </is>
      </c>
      <c r="B49" s="417">
        <f>HYPERLINK("http://codeforces.com/contest/357/problem/C","CF357-D2-C")</f>
        <v/>
      </c>
      <c r="C49" s="295" t="n"/>
      <c r="D49" s="295" t="n"/>
      <c r="E49" s="295" t="n"/>
      <c r="F49" s="295" t="n"/>
      <c r="G49" s="295" t="n"/>
      <c r="H49" s="295" t="n"/>
      <c r="I49" s="418">
        <f>SUM(E49:H49)</f>
        <v/>
      </c>
      <c r="J49" s="295" t="n"/>
      <c r="K49" s="295" t="n"/>
      <c r="L49" s="295" t="n"/>
      <c r="M49" s="295" t="n"/>
    </row>
    <row r="50" ht="15.75" customHeight="1" s="279">
      <c r="A50" s="482" t="inlineStr">
        <is>
          <t>Special Offer! Super Price 999 Bourles!</t>
        </is>
      </c>
      <c r="B50" s="318">
        <f>HYPERLINK("http://codeforces.com/contest/219/problem/B","CF219-D2-B")</f>
        <v/>
      </c>
      <c r="C50" s="418" t="n"/>
      <c r="D50" s="418" t="n"/>
      <c r="E50" s="418" t="n"/>
      <c r="F50" s="418" t="n"/>
      <c r="G50" s="418" t="n"/>
      <c r="H50" s="418" t="n"/>
      <c r="I50" s="404">
        <f>SUM(E50:H50)</f>
        <v/>
      </c>
      <c r="J50" s="404" t="n"/>
      <c r="K50" s="404" t="n"/>
      <c r="L50" s="418" t="n"/>
      <c r="M50" s="295" t="n"/>
    </row>
    <row r="51" ht="15.75" customHeight="1" s="279">
      <c r="A51" s="295" t="n"/>
      <c r="B51" s="295" t="n"/>
      <c r="C51" s="418" t="n"/>
      <c r="D51" s="418" t="n"/>
      <c r="E51" s="418" t="n"/>
      <c r="F51" s="418" t="n"/>
      <c r="G51" s="418" t="n"/>
      <c r="H51" s="418" t="n"/>
      <c r="I51" s="404">
        <f>SUM(E51:H51)</f>
        <v/>
      </c>
      <c r="J51" s="404" t="n"/>
      <c r="K51" s="404" t="n"/>
      <c r="L51" s="418" t="n"/>
      <c r="M51" s="458">
        <f>HYPERLINK("https://www.youtube.com/watch?v=F0hmrbOW8nw","Watch - Thinking - Problem Abstraction ")</f>
        <v/>
      </c>
    </row>
    <row r="52" ht="15.75" customHeight="1" s="279">
      <c r="A52" s="295" t="n"/>
      <c r="B52" s="295" t="n"/>
      <c r="C52" s="418" t="n"/>
      <c r="D52" s="418" t="n"/>
      <c r="E52" s="418" t="n"/>
      <c r="F52" s="418" t="n"/>
      <c r="G52" s="418" t="n"/>
      <c r="H52" s="418" t="n"/>
      <c r="I52" s="404">
        <f>SUM(E52:H52)</f>
        <v/>
      </c>
      <c r="J52" s="404" t="n"/>
      <c r="K52" s="404" t="n"/>
      <c r="L52" s="418" t="n"/>
      <c r="M52" s="458">
        <f>HYPERLINK("https://www.youtube.com/watch?v=0wlc8Rhyybo","Watch - Thinking - Problem Reverse")</f>
        <v/>
      </c>
    </row>
    <row r="53" ht="15.75" customHeight="1" s="279">
      <c r="A53" s="295" t="n"/>
      <c r="B53" s="295" t="n"/>
      <c r="C53" s="418" t="n"/>
      <c r="D53" s="418" t="n"/>
      <c r="E53" s="418" t="n"/>
      <c r="F53" s="418" t="n"/>
      <c r="G53" s="418" t="n"/>
      <c r="H53" s="418" t="n"/>
      <c r="I53" s="404">
        <f>SUM(E53:H53)</f>
        <v/>
      </c>
      <c r="J53" s="404" t="n"/>
      <c r="K53" s="404" t="n"/>
      <c r="L53" s="418" t="n"/>
      <c r="M53" s="458">
        <f>HYPERLINK("https://www.youtube.com/watch?v=hLXVhRzqq18","Watch - Search Techniques - Backtracking")</f>
        <v/>
      </c>
    </row>
    <row r="54" ht="15.75" customHeight="1" s="279">
      <c r="A54" s="432" t="inlineStr">
        <is>
          <t>Graph Coloring</t>
        </is>
      </c>
      <c r="B54" s="462">
        <f>HYPERLINK("https://uva.onlinejudge.org/index.php?option=com_onlinejudge&amp;Itemid=8&amp;page=show_problem&amp;problem=129","UVA 193")</f>
        <v/>
      </c>
      <c r="C54" s="418" t="n"/>
      <c r="D54" s="418" t="n"/>
      <c r="E54" s="418" t="n"/>
      <c r="F54" s="418" t="n"/>
      <c r="G54" s="418" t="n"/>
      <c r="H54" s="418" t="n"/>
      <c r="I54" s="404">
        <f>SUM(E54:H54)</f>
        <v/>
      </c>
      <c r="J54" s="404" t="n"/>
      <c r="K54" s="404" t="n"/>
      <c r="L54" s="418" t="n"/>
      <c r="M54" s="474">
        <f>HYPERLINK("https://www.youtube.com/watch?v=0hOK2hgqNE4","Video Solution - Dr Mostafa Saad")</f>
        <v/>
      </c>
    </row>
    <row r="55" ht="15.75" customHeight="1" s="279">
      <c r="A55" s="432" t="inlineStr">
        <is>
          <t>23 out of 5</t>
        </is>
      </c>
      <c r="B55" s="462">
        <f>HYPERLINK("https://uva.onlinejudge.org/index.php?option=com_onlinejudge&amp;Itemid=8&amp;page=show_problem&amp;problem=1285","UVA 10344")</f>
        <v/>
      </c>
      <c r="C55" s="418" t="n"/>
      <c r="D55" s="418" t="n"/>
      <c r="E55" s="418" t="n"/>
      <c r="F55" s="418" t="n"/>
      <c r="G55" s="418" t="n"/>
      <c r="H55" s="418" t="n"/>
      <c r="I55" s="404">
        <f>SUM(E55:H55)</f>
        <v/>
      </c>
      <c r="J55" s="404" t="n"/>
      <c r="K55" s="404" t="n"/>
      <c r="L55" s="418" t="n"/>
      <c r="M55" s="474">
        <f>HYPERLINK("https://www.youtube.com/watch?v=WX7rIgcgnBs","Video Solution - Eng Mohamed Nasser")</f>
        <v/>
      </c>
    </row>
    <row r="56" ht="15.75" customHeight="1" s="279">
      <c r="A56" s="432" t="inlineStr">
        <is>
          <t>8 Queens Chess Problem</t>
        </is>
      </c>
      <c r="B56" s="462">
        <f>HYPERLINK("https://uva.onlinejudge.org/index.php?option=com_onlinejudge&amp;Itemid=8&amp;page=show_problem&amp;problem=691","UVA 750")</f>
        <v/>
      </c>
      <c r="C56" s="418" t="n"/>
      <c r="D56" s="418" t="n"/>
      <c r="E56" s="418" t="n"/>
      <c r="F56" s="418" t="n"/>
      <c r="G56" s="418" t="n"/>
      <c r="H56" s="418" t="n"/>
      <c r="I56" s="404">
        <f>SUM(E56:H56)</f>
        <v/>
      </c>
      <c r="J56" s="404" t="n"/>
      <c r="K56" s="404" t="n"/>
      <c r="L56" s="418" t="n"/>
      <c r="M56" s="474">
        <f>HYPERLINK("https://www.youtube.com/watch?v=3jMlUYEVgL0","Video Solution - Eng Ayman Salah")</f>
        <v/>
      </c>
    </row>
    <row r="57" ht="15.75" customHeight="1" s="279">
      <c r="A57" s="437" t="inlineStr">
        <is>
          <t>Assemble</t>
        </is>
      </c>
      <c r="B57" s="438">
        <f>HYPERLINK("https://uva.onlinejudge.org/index.php?option=onlinejudge&amp;page=show_problem&amp;problem=3276","UVA 12124")</f>
        <v/>
      </c>
      <c r="C57" s="418" t="n"/>
      <c r="D57" s="418" t="n"/>
      <c r="E57" s="418" t="n"/>
      <c r="F57" s="418" t="n"/>
      <c r="G57" s="418" t="n"/>
      <c r="H57" s="418" t="n"/>
      <c r="I57" s="404">
        <f>SUM(E57:H57)</f>
        <v/>
      </c>
      <c r="J57" s="404" t="n"/>
      <c r="K57" s="404" t="n"/>
      <c r="L57" s="418" t="n"/>
      <c r="M57" s="474">
        <f>HYPERLINK("https://github.com/mostafa-saad/MyCompetitiveProgramming/blob/master/UVA/UVA_12124.txt","Sol")</f>
        <v/>
      </c>
    </row>
    <row r="58" ht="15.75" customHeight="1" s="279">
      <c r="A58" s="437" t="n"/>
      <c r="B58" s="437" t="inlineStr">
        <is>
          <t>SPOJ FUNPROB</t>
        </is>
      </c>
      <c r="C58" s="418" t="n"/>
      <c r="D58" s="418" t="n"/>
      <c r="E58" s="418" t="n"/>
      <c r="F58" s="418" t="n"/>
      <c r="G58" s="418" t="n"/>
      <c r="H58" s="418" t="n"/>
      <c r="I58" s="404">
        <f>SUM(E58:H58)</f>
        <v/>
      </c>
      <c r="J58" s="404" t="n"/>
      <c r="K58" s="404" t="n"/>
      <c r="L58" s="418" t="n"/>
      <c r="M58" s="474">
        <f>HYPERLINK("https://stackoverflow.com/questions/25281005/calculating-probability-for-funprob","Sol")</f>
        <v/>
      </c>
    </row>
    <row r="59" ht="15.75" customHeight="1" s="279">
      <c r="A59" s="304" t="n"/>
      <c r="B59" s="304" t="n"/>
      <c r="C59" s="418" t="n"/>
      <c r="D59" s="418" t="n"/>
      <c r="E59" s="418" t="n"/>
      <c r="F59" s="418" t="n"/>
      <c r="G59" s="418" t="n"/>
      <c r="H59" s="418" t="n"/>
      <c r="I59" s="404">
        <f>SUM(E59:H59)</f>
        <v/>
      </c>
      <c r="J59" s="404" t="n"/>
      <c r="K59" s="404" t="n"/>
      <c r="L59" s="418" t="n"/>
      <c r="M59" s="304" t="n"/>
    </row>
    <row r="60" ht="15.75" customHeight="1" s="279">
      <c r="A60" s="304" t="inlineStr">
        <is>
          <t>Magic Formulas</t>
        </is>
      </c>
      <c r="B60" s="474">
        <f>HYPERLINK("http://codeforces.com/contest/424/problem/C","CF424-D2-C")</f>
        <v/>
      </c>
      <c r="C60" s="418" t="n"/>
      <c r="D60" s="418" t="n"/>
      <c r="E60" s="418" t="n"/>
      <c r="F60" s="418" t="n"/>
      <c r="G60" s="418" t="n"/>
      <c r="H60" s="418" t="n"/>
      <c r="I60" s="404">
        <f>SUM(E60:H60)</f>
        <v/>
      </c>
      <c r="J60" s="404" t="n"/>
      <c r="K60" s="404" t="n"/>
      <c r="L60" s="418" t="n"/>
      <c r="M60" s="295" t="n"/>
    </row>
    <row r="61" ht="15.75" customHeight="1" s="279">
      <c r="A61" s="304" t="inlineStr">
        <is>
          <t>Pythagorean Triples</t>
        </is>
      </c>
      <c r="B61" s="474">
        <f>HYPERLINK("http://codeforces.com/contest/707/problem/C","CF707-D2-C")</f>
        <v/>
      </c>
      <c r="C61" s="418" t="n"/>
      <c r="D61" s="418" t="n"/>
      <c r="E61" s="418" t="n"/>
      <c r="F61" s="418" t="n"/>
      <c r="G61" s="418" t="n"/>
      <c r="H61" s="418" t="n"/>
      <c r="I61" s="404">
        <f>SUM(E61:H61)</f>
        <v/>
      </c>
      <c r="J61" s="404" t="n"/>
      <c r="K61" s="404" t="n"/>
      <c r="L61" s="418" t="n"/>
      <c r="M61" s="295" t="n"/>
    </row>
    <row r="62" ht="15.75" customHeight="1" s="279">
      <c r="A62" s="304" t="inlineStr">
        <is>
          <t>Gerald's Hexagon</t>
        </is>
      </c>
      <c r="B62" s="474">
        <f>HYPERLINK("http://codeforces.com/contest/560/problem/C","CF560-D2-C")</f>
        <v/>
      </c>
      <c r="C62" s="418" t="n"/>
      <c r="D62" s="418" t="n"/>
      <c r="E62" s="418" t="n"/>
      <c r="F62" s="418" t="n"/>
      <c r="G62" s="418" t="n"/>
      <c r="H62" s="418" t="n"/>
      <c r="I62" s="404">
        <f>SUM(E62:H62)</f>
        <v/>
      </c>
      <c r="J62" s="404" t="n"/>
      <c r="K62" s="404" t="n"/>
      <c r="L62" s="418" t="n"/>
      <c r="M62" s="417" t="n"/>
    </row>
    <row r="63" ht="15.75" customHeight="1" s="279">
      <c r="A63" s="295" t="inlineStr">
        <is>
          <t>Points on Line</t>
        </is>
      </c>
      <c r="B63" s="417">
        <f>HYPERLINK("http://codeforces.com/contest/252/problem/C","CF252-D2-C")</f>
        <v/>
      </c>
      <c r="C63" s="418" t="n"/>
      <c r="D63" s="418" t="n"/>
      <c r="E63" s="418" t="n"/>
      <c r="F63" s="418" t="n"/>
      <c r="G63" s="418" t="n"/>
      <c r="H63" s="418" t="n"/>
      <c r="I63" s="404">
        <f>SUM(E63:H63)</f>
        <v/>
      </c>
      <c r="J63" s="404" t="n"/>
      <c r="K63" s="404" t="n"/>
      <c r="L63" s="295" t="n"/>
      <c r="M63" s="295" t="n"/>
    </row>
    <row r="64" ht="15.75" customHeight="1" s="279">
      <c r="A64" s="295" t="inlineStr">
        <is>
          <t>Find Maximum</t>
        </is>
      </c>
      <c r="B64" s="417">
        <f>HYPERLINK("http://codeforces.com/contest/353/problem/C","CF353-D2-C")</f>
        <v/>
      </c>
      <c r="C64" s="418" t="n"/>
      <c r="D64" s="418" t="n"/>
      <c r="E64" s="418" t="n"/>
      <c r="F64" s="418" t="n"/>
      <c r="G64" s="418" t="n"/>
      <c r="H64" s="418" t="n"/>
      <c r="I64" s="404">
        <f>SUM(E64:H64)</f>
        <v/>
      </c>
      <c r="J64" s="404" t="n"/>
      <c r="K64" s="404" t="n"/>
      <c r="L64" s="295" t="n"/>
      <c r="M64" s="295" t="n"/>
    </row>
    <row r="65" ht="15.75" customHeight="1" s="279">
      <c r="A65" s="482" t="inlineStr">
        <is>
          <t>Jzzhu and Sequences</t>
        </is>
      </c>
      <c r="B65" s="318">
        <f>HYPERLINK("http://codeforces.com/contest/450/problem/B","CF450-D2-B")</f>
        <v/>
      </c>
      <c r="C65" s="418" t="n"/>
      <c r="D65" s="418" t="n"/>
      <c r="E65" s="418" t="n"/>
      <c r="F65" s="418" t="n"/>
      <c r="G65" s="418" t="n"/>
      <c r="H65" s="418" t="n"/>
      <c r="I65" s="404">
        <f>SUM(E65:H65)</f>
        <v/>
      </c>
      <c r="J65" s="404" t="n"/>
      <c r="K65" s="404" t="n"/>
      <c r="L65" s="418" t="n"/>
      <c r="M65" s="304" t="n"/>
    </row>
    <row r="66" ht="15.75" customHeight="1" s="279">
      <c r="A66" s="482" t="inlineStr">
        <is>
          <t>Simple Game</t>
        </is>
      </c>
      <c r="B66" s="318">
        <f>HYPERLINK("http://codeforces.com/contest/570/problem/B","CF570-D2-B")</f>
        <v/>
      </c>
      <c r="C66" s="418" t="n"/>
      <c r="D66" s="418" t="n"/>
      <c r="E66" s="418" t="n"/>
      <c r="F66" s="418" t="n"/>
      <c r="G66" s="418" t="n"/>
      <c r="H66" s="418" t="n"/>
      <c r="I66" s="404">
        <f>SUM(E66:H66)</f>
        <v/>
      </c>
      <c r="J66" s="404" t="n"/>
      <c r="K66" s="404" t="n"/>
      <c r="L66" s="418" t="n"/>
      <c r="M66" s="304" t="n"/>
    </row>
    <row r="67" ht="15.75" customHeight="1" s="279">
      <c r="A67" s="482" t="inlineStr">
        <is>
          <t>Prime Matrix</t>
        </is>
      </c>
      <c r="B67" s="318">
        <f>HYPERLINK("http://codeforces.com/contest/271/problem/B","CF271-D2-B")</f>
        <v/>
      </c>
      <c r="C67" s="418" t="n"/>
      <c r="D67" s="418" t="n"/>
      <c r="E67" s="418" t="n"/>
      <c r="F67" s="418" t="n"/>
      <c r="G67" s="418" t="n"/>
      <c r="H67" s="418" t="n"/>
      <c r="I67" s="404">
        <f>SUM(E67:H67)</f>
        <v/>
      </c>
      <c r="J67" s="404" t="n"/>
      <c r="K67" s="404" t="n"/>
      <c r="L67" s="418" t="n"/>
      <c r="M67" s="304" t="n"/>
    </row>
    <row r="68" ht="15.75" customHeight="1" s="279">
      <c r="A68" s="295" t="n"/>
      <c r="B68" s="417" t="n"/>
      <c r="C68" s="418" t="n"/>
      <c r="D68" s="418" t="n"/>
      <c r="E68" s="418" t="n"/>
      <c r="F68" s="418" t="n"/>
      <c r="G68" s="418" t="n"/>
      <c r="H68" s="418" t="n"/>
      <c r="I68" s="404">
        <f>SUM(E68:H68)</f>
        <v/>
      </c>
      <c r="J68" s="404" t="n"/>
      <c r="K68" s="404" t="n"/>
      <c r="L68" s="418" t="n"/>
      <c r="M68" s="458">
        <f>HYPERLINK("https://www.youtube.com/watch?v=ldwGf-iVsdU&amp;t=2s&amp;list=PLPt2dINI2MIZPFq6HyUB1Uhxdh1UDnZMS","Review bitmasking")</f>
        <v/>
      </c>
    </row>
    <row r="69" ht="15.75" customHeight="1" s="279">
      <c r="A69" s="295" t="n"/>
      <c r="B69" s="417" t="n"/>
      <c r="C69" s="418" t="n"/>
      <c r="D69" s="418" t="n"/>
      <c r="E69" s="418" t="n"/>
      <c r="F69" s="418" t="n"/>
      <c r="G69" s="418" t="n"/>
      <c r="H69" s="418" t="n"/>
      <c r="I69" s="404">
        <f>SUM(E69:H69)</f>
        <v/>
      </c>
      <c r="J69" s="404" t="n"/>
      <c r="K69" s="404" t="n"/>
      <c r="L69" s="418" t="n"/>
      <c r="M69" s="458">
        <f>HYPERLINK("https://www.youtube.com/watch?v=vAqaki1BhS0","Watch - DP - Subset Style")</f>
        <v/>
      </c>
    </row>
    <row r="70" ht="15.75" customHeight="1" s="279">
      <c r="A70" s="432" t="inlineStr">
        <is>
          <t>Vacation</t>
        </is>
      </c>
      <c r="B70" s="316">
        <f>HYPERLINK("https://uva.onlinejudge.org/index.php?option=onlinejudge&amp;page=show_problem&amp;problem=1133","UVA 10192")</f>
        <v/>
      </c>
      <c r="C70" s="418" t="n"/>
      <c r="D70" s="418" t="n"/>
      <c r="E70" s="418" t="n"/>
      <c r="F70" s="418" t="n"/>
      <c r="G70" s="418" t="n"/>
      <c r="H70" s="418" t="n"/>
      <c r="I70" s="404">
        <f>SUM(E70:H70)</f>
        <v/>
      </c>
      <c r="J70" s="404" t="n"/>
      <c r="K70" s="404" t="n"/>
      <c r="L70" s="295" t="n"/>
      <c r="M70" s="484" t="inlineStr">
        <is>
          <t>Explained in the tutorial videos</t>
        </is>
      </c>
    </row>
    <row r="71" ht="15.75" customHeight="1" s="279">
      <c r="A71" s="432" t="inlineStr">
        <is>
          <t>Dividing coins</t>
        </is>
      </c>
      <c r="B71" s="316">
        <f>HYPERLINK("https://uva.onlinejudge.org/index.php?option=com_onlinejudge&amp;Itemid=8&amp;page=show_problem&amp;problem=503","UVA 562")</f>
        <v/>
      </c>
      <c r="C71" s="418" t="n"/>
      <c r="D71" s="418" t="n"/>
      <c r="E71" s="418" t="n"/>
      <c r="F71" s="418" t="n"/>
      <c r="G71" s="418" t="n"/>
      <c r="H71" s="418" t="n"/>
      <c r="I71" s="404">
        <f>SUM(E71:H71)</f>
        <v/>
      </c>
      <c r="J71" s="404" t="n"/>
      <c r="K71" s="404" t="n"/>
      <c r="L71" s="295" t="n"/>
      <c r="M71" s="474">
        <f>HYPERLINK("https://www.youtube.com/watch?v=HN-oKkysTmc","Video Solution - Eng Ayman Salah")</f>
        <v/>
      </c>
    </row>
    <row r="72" ht="15.75" customHeight="1" s="279">
      <c r="A72" s="295" t="n"/>
      <c r="B72" s="417" t="n"/>
      <c r="C72" s="418" t="n"/>
      <c r="D72" s="418" t="n"/>
      <c r="E72" s="418" t="n"/>
      <c r="F72" s="418" t="n"/>
      <c r="G72" s="418" t="n"/>
      <c r="H72" s="418" t="n"/>
      <c r="I72" s="404">
        <f>SUM(E72:H72)</f>
        <v/>
      </c>
      <c r="J72" s="404" t="n"/>
      <c r="K72" s="404" t="n"/>
      <c r="L72" s="418" t="n"/>
      <c r="M72" s="458">
        <f>HYPERLINK("https://www.youtube.com/watch?v=bDlAqeWsKsg","Watch - DP - Consecutive Ranges Style")</f>
        <v/>
      </c>
    </row>
    <row r="73" ht="15.75" customHeight="1" s="279">
      <c r="A73" s="432" t="n"/>
      <c r="B73" s="432" t="inlineStr">
        <is>
          <t>SRM149-D1-500</t>
        </is>
      </c>
      <c r="C73" s="418" t="n"/>
      <c r="D73" s="418" t="n"/>
      <c r="E73" s="418" t="n"/>
      <c r="F73" s="418" t="n"/>
      <c r="G73" s="418" t="n"/>
      <c r="H73" s="418" t="n"/>
      <c r="I73" s="404">
        <f>SUM(E73:H73)</f>
        <v/>
      </c>
      <c r="J73" s="404" t="n"/>
      <c r="K73" s="404" t="n"/>
      <c r="L73" s="418" t="n"/>
      <c r="M73" s="458" t="n"/>
    </row>
    <row r="74" ht="15.75" customHeight="1" s="279">
      <c r="A74" s="432" t="n"/>
      <c r="B74" s="432" t="inlineStr">
        <is>
          <t>SRM536-D2-1000</t>
        </is>
      </c>
      <c r="C74" s="418" t="n"/>
      <c r="D74" s="418" t="n"/>
      <c r="E74" s="418" t="n"/>
      <c r="F74" s="418" t="n"/>
      <c r="G74" s="418" t="n"/>
      <c r="H74" s="418" t="n"/>
      <c r="I74" s="404">
        <f>SUM(E74:H74)</f>
        <v/>
      </c>
      <c r="J74" s="404" t="n"/>
      <c r="K74" s="404" t="n"/>
      <c r="L74" s="418" t="n"/>
      <c r="M74" s="458" t="n"/>
    </row>
    <row r="75" ht="15.75" customHeight="1" s="279">
      <c r="A75" s="437" t="inlineStr">
        <is>
          <t>The Blocks Problem</t>
        </is>
      </c>
      <c r="B75" s="438">
        <f>HYPERLINK("https://uva.onlinejudge.org/index.php?option=com_onlinejudge&amp;Itemid=8&amp;page=show_problem&amp;problem=37","UVA 101")</f>
        <v/>
      </c>
      <c r="C75" s="418" t="n"/>
      <c r="D75" s="418" t="n"/>
      <c r="E75" s="418" t="n"/>
      <c r="F75" s="418" t="n"/>
      <c r="G75" s="418" t="n"/>
      <c r="H75" s="418" t="n"/>
      <c r="I75" s="404">
        <f>SUM(E75:H75)</f>
        <v/>
      </c>
      <c r="J75" s="404" t="n"/>
      <c r="K75" s="404" t="n"/>
      <c r="L75" s="418" t="n"/>
      <c r="M75" s="485" t="inlineStr">
        <is>
          <t>Sol</t>
        </is>
      </c>
    </row>
    <row r="76" ht="15.75" customHeight="1" s="279">
      <c r="A76" s="437" t="inlineStr">
        <is>
          <t>Divisibility</t>
        </is>
      </c>
      <c r="B76" s="438">
        <f>HYPERLINK("https://uva.onlinejudge.org/index.php?option=com_onlinejudge&amp;Itemid=8&amp;page=show_problem&amp;problem=977","UVA 10036")</f>
        <v/>
      </c>
      <c r="C76" s="418" t="n"/>
      <c r="D76" s="418" t="n"/>
      <c r="E76" s="418" t="n"/>
      <c r="F76" s="418" t="n"/>
      <c r="G76" s="418" t="n"/>
      <c r="H76" s="418" t="n"/>
      <c r="I76" s="404">
        <f>SUM(E76:H76)</f>
        <v/>
      </c>
      <c r="J76" s="404" t="n"/>
      <c r="K76" s="404" t="n"/>
      <c r="L76" s="418" t="n"/>
      <c r="M76" s="485" t="inlineStr">
        <is>
          <t>Sol</t>
        </is>
      </c>
    </row>
    <row r="77" ht="15.75" customHeight="1" s="279">
      <c r="A77" s="437" t="n"/>
      <c r="B77" s="437" t="inlineStr">
        <is>
          <t>UVA 11628</t>
        </is>
      </c>
      <c r="C77" s="418" t="n"/>
      <c r="D77" s="418" t="n"/>
      <c r="E77" s="418" t="n"/>
      <c r="F77" s="418" t="n"/>
      <c r="G77" s="418" t="n"/>
      <c r="H77" s="418" t="n"/>
      <c r="I77" s="404">
        <f>SUM(E77:H77)</f>
        <v/>
      </c>
      <c r="J77" s="404" t="n"/>
      <c r="K77" s="404" t="n"/>
      <c r="L77" s="418" t="n"/>
      <c r="M77" s="474">
        <f>HYPERLINK("https://github.com/mostafa-saad/MyCompetitiveProgramming/blob/master/UVA/UVA_11628.txt","Sol")</f>
        <v/>
      </c>
    </row>
    <row r="78" ht="15.75" customHeight="1" s="279">
      <c r="A78" s="304" t="n"/>
      <c r="B78" s="304" t="n"/>
      <c r="C78" s="418" t="n"/>
      <c r="D78" s="418" t="n"/>
      <c r="E78" s="418" t="n"/>
      <c r="F78" s="418" t="n"/>
      <c r="G78" s="418" t="n"/>
      <c r="H78" s="418" t="n"/>
      <c r="I78" s="404">
        <f>SUM(E78:H78)</f>
        <v/>
      </c>
      <c r="J78" s="404" t="n"/>
      <c r="K78" s="404" t="n"/>
      <c r="L78" s="418" t="n"/>
      <c r="M78" s="304" t="n"/>
    </row>
    <row r="79" ht="15.75" customHeight="1" s="279">
      <c r="A79" s="295" t="inlineStr">
        <is>
          <t>Rational Resistance</t>
        </is>
      </c>
      <c r="B79" s="417">
        <f>HYPERLINK("http://codeforces.com/contest/344/problem/C","CF344-D2-C")</f>
        <v/>
      </c>
      <c r="C79" s="418" t="n"/>
      <c r="D79" s="418" t="n"/>
      <c r="E79" s="418" t="n"/>
      <c r="F79" s="418" t="n"/>
      <c r="G79" s="418" t="n"/>
      <c r="H79" s="418" t="n"/>
      <c r="I79" s="404">
        <f>SUM(E79:H79)</f>
        <v/>
      </c>
      <c r="J79" s="295" t="n"/>
      <c r="K79" s="295" t="n"/>
      <c r="L79" s="295" t="n"/>
      <c r="M79" s="304" t="n"/>
    </row>
    <row r="80" ht="15.75" customHeight="1" s="279">
      <c r="A80" s="304" t="inlineStr">
        <is>
          <t>k-Multiple Free Set</t>
        </is>
      </c>
      <c r="B80" s="474">
        <f>HYPERLINK("http://codeforces.com/contest/275/problem/C","CF275-D2-C")</f>
        <v/>
      </c>
      <c r="C80" s="418" t="n"/>
      <c r="D80" s="418" t="n"/>
      <c r="E80" s="418" t="n"/>
      <c r="F80" s="418" t="n"/>
      <c r="G80" s="418" t="n"/>
      <c r="H80" s="418" t="n"/>
      <c r="I80" s="404">
        <f>SUM(E80:H80)</f>
        <v/>
      </c>
      <c r="J80" s="404" t="n"/>
      <c r="K80" s="404" t="n"/>
      <c r="L80" s="418" t="n"/>
      <c r="M80" s="295" t="n"/>
    </row>
    <row r="81" ht="15.75" customHeight="1" s="279">
      <c r="A81" s="295" t="inlineStr">
        <is>
          <t>Polycarpus' Dice</t>
        </is>
      </c>
      <c r="B81" s="417">
        <f>HYPERLINK("http://codeforces.com/contest/534/problem/C","CF534-D2-C")</f>
        <v/>
      </c>
      <c r="C81" s="418" t="n"/>
      <c r="D81" s="418" t="n"/>
      <c r="E81" s="418" t="n"/>
      <c r="F81" s="418" t="n"/>
      <c r="G81" s="418" t="n"/>
      <c r="H81" s="418" t="n"/>
      <c r="I81" s="404">
        <f>SUM(E81:H81)</f>
        <v/>
      </c>
      <c r="J81" s="404" t="n"/>
      <c r="K81" s="404" t="n"/>
      <c r="L81" s="295" t="n"/>
      <c r="M81" s="475">
        <f>HYPERLINK("https://codeforces.com/contest/534/submission/61924545","Sol")</f>
        <v/>
      </c>
    </row>
    <row r="82" ht="15.75" customHeight="1" s="279">
      <c r="A82" s="482" t="inlineStr">
        <is>
          <t>Print Check</t>
        </is>
      </c>
      <c r="B82" s="318">
        <f>HYPERLINK("http://codeforces.com/contest/631/problem/B","CF631-D2-B")</f>
        <v/>
      </c>
      <c r="C82" s="418" t="n"/>
      <c r="D82" s="418" t="n"/>
      <c r="E82" s="418" t="n"/>
      <c r="F82" s="418" t="n"/>
      <c r="G82" s="418" t="n"/>
      <c r="H82" s="418" t="n"/>
      <c r="I82" s="404">
        <f>SUM(E82:H82)</f>
        <v/>
      </c>
      <c r="J82" s="404" t="n"/>
      <c r="K82" s="404" t="n"/>
      <c r="L82" s="295" t="n"/>
      <c r="M82" s="295" t="n"/>
    </row>
    <row r="83" ht="15.75" customHeight="1" s="279">
      <c r="A83" s="482" t="inlineStr">
        <is>
          <t>Playing Cubes</t>
        </is>
      </c>
      <c r="B83" s="318">
        <f>HYPERLINK("http://codeforces.com/contest/257/problem/B","CF257-D2-B")</f>
        <v/>
      </c>
      <c r="C83" s="418" t="n"/>
      <c r="D83" s="418" t="n"/>
      <c r="E83" s="418" t="n"/>
      <c r="F83" s="418" t="n"/>
      <c r="G83" s="418" t="n"/>
      <c r="H83" s="418" t="n"/>
      <c r="I83" s="404">
        <f>SUM(E83:H83)</f>
        <v/>
      </c>
      <c r="J83" s="404" t="n"/>
      <c r="K83" s="404" t="n"/>
      <c r="L83" s="295" t="n"/>
      <c r="M83" s="295" t="n"/>
    </row>
    <row r="84" ht="15.75" customHeight="1" s="279">
      <c r="A84" s="482" t="inlineStr">
        <is>
          <t>T-primes</t>
        </is>
      </c>
      <c r="B84" s="318">
        <f>HYPERLINK("http://codeforces.com/contest/230/problem/B","CF230-D2-B")</f>
        <v/>
      </c>
      <c r="C84" s="418" t="n"/>
      <c r="D84" s="418" t="n"/>
      <c r="E84" s="418" t="n"/>
      <c r="F84" s="418" t="n"/>
      <c r="G84" s="418" t="n"/>
      <c r="H84" s="418" t="n"/>
      <c r="I84" s="404">
        <f>SUM(E84:H84)</f>
        <v/>
      </c>
      <c r="J84" s="404" t="n"/>
      <c r="K84" s="404" t="n"/>
      <c r="L84" s="295" t="n"/>
      <c r="M84" s="295" t="n"/>
    </row>
    <row r="85" ht="15.75" customHeight="1" s="279">
      <c r="A85" s="295" t="n"/>
      <c r="B85" s="417" t="n"/>
      <c r="C85" s="418" t="n"/>
      <c r="D85" s="418" t="n"/>
      <c r="E85" s="418" t="n"/>
      <c r="F85" s="418" t="n"/>
      <c r="G85" s="418" t="n"/>
      <c r="H85" s="418" t="n"/>
      <c r="I85" s="404">
        <f>SUM(E85:H85)</f>
        <v/>
      </c>
      <c r="J85" s="404" t="n"/>
      <c r="K85" s="404" t="n"/>
      <c r="L85" s="418" t="n"/>
      <c r="M85" s="458">
        <f>HYPERLINK("https://www.youtube.com/watch?v=b4AC2jGNGEM","Watch - DP - Nested Ranges Style")</f>
        <v/>
      </c>
    </row>
    <row r="86" ht="15.75" customHeight="1" s="279">
      <c r="A86" s="295" t="n"/>
      <c r="B86" s="417" t="n"/>
      <c r="C86" s="418" t="n"/>
      <c r="D86" s="418" t="n"/>
      <c r="E86" s="418" t="n"/>
      <c r="F86" s="418" t="n"/>
      <c r="G86" s="418" t="n"/>
      <c r="H86" s="418" t="n"/>
      <c r="I86" s="404">
        <f>SUM(E86:H86)</f>
        <v/>
      </c>
      <c r="J86" s="404" t="n"/>
      <c r="K86" s="404" t="n"/>
      <c r="L86" s="418" t="n"/>
      <c r="M86" s="458">
        <f>HYPERLINK("https://www.youtube.com/watch?v=pJbeTrSKl3Y","Watch - DP - General Ranges Style")</f>
        <v/>
      </c>
    </row>
    <row r="87" ht="15.75" customHeight="1" s="279">
      <c r="A87" s="432" t="inlineStr">
        <is>
          <t>Creating Palindrome</t>
        </is>
      </c>
      <c r="B87" s="462">
        <f>HYPERLINK("https://uva.onlinejudge.org/index.php?option=com_onlinejudge&amp;Itemid=8&amp;page=show_problem&amp;problem=2853","UVA 11753")</f>
        <v/>
      </c>
      <c r="C87" s="418" t="n"/>
      <c r="D87" s="418" t="n"/>
      <c r="E87" s="418" t="n"/>
      <c r="F87" s="418" t="n"/>
      <c r="G87" s="418" t="n"/>
      <c r="H87" s="418" t="n"/>
      <c r="I87" s="404">
        <f>SUM(E87:H87)</f>
        <v/>
      </c>
      <c r="J87" s="404" t="n"/>
      <c r="K87" s="404" t="n"/>
      <c r="L87" s="418" t="n"/>
      <c r="M87" s="421">
        <f>HYPERLINK("https://www.youtube.com/watch?v=1fP2Rl0-rWk","Video Solution - Eng Aya Elymany")</f>
        <v/>
      </c>
    </row>
    <row r="88" ht="15.75" customHeight="1" s="279">
      <c r="A88" s="432" t="inlineStr">
        <is>
          <t>Again Palindrome</t>
        </is>
      </c>
      <c r="B88" s="462">
        <f>HYPERLINK("https://uva.onlinejudge.org/index.php?option=com_onlinejudge&amp;Itemid=8&amp;page=show_problem&amp;problem=1558","UVA 10617")</f>
        <v/>
      </c>
      <c r="C88" s="418" t="n"/>
      <c r="D88" s="418" t="n"/>
      <c r="E88" s="418" t="n"/>
      <c r="F88" s="418" t="n"/>
      <c r="G88" s="418" t="n"/>
      <c r="H88" s="418" t="n"/>
      <c r="I88" s="404">
        <f>SUM(E88:H88)</f>
        <v/>
      </c>
      <c r="J88" s="404" t="n"/>
      <c r="K88" s="404" t="n"/>
      <c r="L88" s="295" t="n"/>
      <c r="M88" s="419">
        <f>HYPERLINK("https://github.com/magdy-hasan/competitive-programming/blob/master/uva-/uva%2010617%20-%20Again%20Palindrome.cpp","Sol to read")</f>
        <v/>
      </c>
    </row>
    <row r="89" ht="15.75" customHeight="1" s="279">
      <c r="A89" s="432" t="inlineStr">
        <is>
          <t>Exploring Pyramids</t>
        </is>
      </c>
      <c r="B89" s="462">
        <f>HYPERLINK("https://uva.onlinejudge.org/index.php?option=com_onlinejudge&amp;Itemid=8&amp;page=show_problem&amp;problem=4108","UVA 1362")</f>
        <v/>
      </c>
      <c r="C89" s="418" t="n"/>
      <c r="D89" s="418" t="n"/>
      <c r="E89" s="418" t="n"/>
      <c r="F89" s="418" t="n"/>
      <c r="G89" s="418" t="n"/>
      <c r="H89" s="418" t="n"/>
      <c r="I89" s="404">
        <f>SUM(E89:H89)</f>
        <v/>
      </c>
      <c r="J89" s="404" t="n"/>
      <c r="K89" s="404" t="n"/>
      <c r="L89" s="418" t="n"/>
      <c r="M89" s="421">
        <f>HYPERLINK("https://www.youtube.com/watch?v=NTxsccxXCW0","Video Solution - Eng Ayman Salah")</f>
        <v/>
      </c>
    </row>
    <row r="90" ht="15.75" customHeight="1" s="279">
      <c r="A90" s="432" t="inlineStr">
        <is>
          <t>Cutting Sticks</t>
        </is>
      </c>
      <c r="B90" s="462">
        <f>HYPERLINK("https://uva.onlinejudge.org/index.php?option=com_onlinejudge&amp;Itemid=8&amp;page=show_problem&amp;problem=944","UVA 10003")</f>
        <v/>
      </c>
      <c r="C90" s="418" t="n"/>
      <c r="D90" s="418" t="n"/>
      <c r="E90" s="418" t="n"/>
      <c r="F90" s="418" t="n"/>
      <c r="G90" s="418" t="n"/>
      <c r="H90" s="418" t="n"/>
      <c r="I90" s="404">
        <f>SUM(E90:H90)</f>
        <v/>
      </c>
      <c r="J90" s="404" t="n"/>
      <c r="K90" s="404" t="n"/>
      <c r="L90" s="295" t="n"/>
      <c r="M90" s="295" t="n"/>
    </row>
    <row r="91" ht="15.75" customHeight="1" s="279">
      <c r="A91" s="437" t="inlineStr">
        <is>
          <t>Optimal Array Multiplication Sequence</t>
        </is>
      </c>
      <c r="B91" s="438">
        <f>HYPERLINK("https://uva.onlinejudge.org/index.php?option=com_onlinejudge&amp;Itemid=8&amp;page=show_problem&amp;problem=284","UVA 348")</f>
        <v/>
      </c>
      <c r="C91" s="418" t="n"/>
      <c r="D91" s="418" t="n"/>
      <c r="E91" s="418" t="n"/>
      <c r="F91" s="418" t="n"/>
      <c r="G91" s="418" t="n"/>
      <c r="H91" s="418" t="n"/>
      <c r="I91" s="404">
        <f>SUM(E91:H91)</f>
        <v/>
      </c>
      <c r="J91" s="404" t="n"/>
      <c r="K91" s="404" t="n"/>
      <c r="L91" s="418" t="n"/>
      <c r="M91" s="474">
        <f>HYPERLINK("https://github.com/mostafa-saad/MyCompetitiveProgramming/blob/master/UVA/UVA_348.txt","Sol")</f>
        <v/>
      </c>
    </row>
    <row r="92" ht="15.75" customHeight="1" s="279">
      <c r="A92" s="437" t="inlineStr">
        <is>
          <t>Accordian Patience</t>
        </is>
      </c>
      <c r="B92" s="438">
        <f>HYPERLINK("https://uva.onlinejudge.org/index.php?option=onlinejudge&amp;page=show_problem&amp;problem=63","UVA 127")</f>
        <v/>
      </c>
      <c r="C92" s="418" t="n"/>
      <c r="D92" s="418" t="n"/>
      <c r="E92" s="418" t="n"/>
      <c r="F92" s="418" t="n"/>
      <c r="G92" s="418" t="n"/>
      <c r="H92" s="418" t="n"/>
      <c r="I92" s="404">
        <f>SUM(E92:H92)</f>
        <v/>
      </c>
      <c r="J92" s="404" t="n"/>
      <c r="K92" s="404" t="n"/>
      <c r="L92" s="418" t="n"/>
      <c r="M92" s="421">
        <f>HYPERLINK("https://www.youtube.com/watch?v=fSZRRUPm0ro&amp;feature=youtu.be","Video Solution - Eng Moaz Rashad")</f>
        <v/>
      </c>
    </row>
    <row r="93" ht="15.75" customHeight="1" s="279">
      <c r="A93" s="437" t="inlineStr">
        <is>
          <t>Software CRC</t>
        </is>
      </c>
      <c r="B93" s="438">
        <f>HYPERLINK("https://uva.onlinejudge.org/index.php?option=com_onlinejudge&amp;Itemid=8&amp;page=show_problem&amp;problem=64","UVA 128")</f>
        <v/>
      </c>
      <c r="C93" s="418" t="n"/>
      <c r="D93" s="418" t="n"/>
      <c r="E93" s="418" t="n"/>
      <c r="F93" s="418" t="n"/>
      <c r="G93" s="418" t="n"/>
      <c r="H93" s="418" t="n"/>
      <c r="I93" s="404">
        <f>SUM(E93:H93)</f>
        <v/>
      </c>
      <c r="J93" s="404" t="n"/>
      <c r="K93" s="404" t="n"/>
      <c r="L93" s="418" t="n"/>
      <c r="M93" s="421">
        <f>HYPERLINK("https://www.youtube.com/watch?v=ifTqIif9WJg","Video Solution - Eng Moaz Rashad")</f>
        <v/>
      </c>
    </row>
    <row r="94" ht="15.75" customHeight="1" s="279">
      <c r="A94" s="437" t="n"/>
      <c r="B94" s="317" t="inlineStr">
        <is>
          <t>ZOJ 1200</t>
        </is>
      </c>
      <c r="C94" s="418" t="n"/>
      <c r="D94" s="418" t="n"/>
      <c r="E94" s="418" t="n"/>
      <c r="F94" s="418" t="n"/>
      <c r="G94" s="418" t="n"/>
      <c r="H94" s="418" t="n"/>
      <c r="I94" s="404">
        <f>SUM(E94:H94)</f>
        <v/>
      </c>
      <c r="J94" s="404" t="n"/>
      <c r="K94" s="404" t="n"/>
      <c r="L94" s="418" t="n"/>
      <c r="M94" s="421" t="inlineStr">
        <is>
          <t>Sol</t>
        </is>
      </c>
    </row>
    <row r="95" ht="15.75" customHeight="1" s="279">
      <c r="A95" s="304" t="n"/>
      <c r="B95" s="304" t="n"/>
      <c r="C95" s="418" t="n"/>
      <c r="D95" s="418" t="n"/>
      <c r="E95" s="418" t="n"/>
      <c r="F95" s="418" t="n"/>
      <c r="G95" s="418" t="n"/>
      <c r="H95" s="418" t="n"/>
      <c r="I95" s="404">
        <f>SUM(E95:H95)</f>
        <v/>
      </c>
      <c r="J95" s="404" t="n"/>
      <c r="K95" s="404" t="n"/>
      <c r="L95" s="418" t="n"/>
      <c r="M95" s="417" t="n"/>
    </row>
    <row r="96" ht="15.75" customHeight="1" s="279">
      <c r="A96" s="304" t="inlineStr">
        <is>
          <t>Maze</t>
        </is>
      </c>
      <c r="B96" s="474">
        <f>HYPERLINK("http://codeforces.com/contest/378/problem/C","CF378-D2-C")</f>
        <v/>
      </c>
      <c r="C96" s="418" t="n"/>
      <c r="D96" s="418" t="n"/>
      <c r="E96" s="418" t="n"/>
      <c r="F96" s="418" t="n"/>
      <c r="G96" s="418" t="n"/>
      <c r="H96" s="418" t="n"/>
      <c r="I96" s="404">
        <f>SUM(E96:H96)</f>
        <v/>
      </c>
      <c r="J96" s="404" t="n"/>
      <c r="K96" s="404" t="n"/>
      <c r="L96" s="418" t="n"/>
      <c r="M96" s="295" t="n"/>
    </row>
    <row r="97" ht="15.75" customHeight="1" s="279">
      <c r="A97" s="304" t="inlineStr">
        <is>
          <t>Thor</t>
        </is>
      </c>
      <c r="B97" s="474">
        <f>HYPERLINK("http://codeforces.com/contest/705/problem/C","CF705-D2-C")</f>
        <v/>
      </c>
      <c r="C97" s="418" t="n"/>
      <c r="D97" s="418" t="n"/>
      <c r="E97" s="418" t="n"/>
      <c r="F97" s="418" t="n"/>
      <c r="G97" s="418" t="n"/>
      <c r="H97" s="418" t="n"/>
      <c r="I97" s="404">
        <f>SUM(E97:H97)</f>
        <v/>
      </c>
      <c r="J97" s="404" t="n"/>
      <c r="K97" s="404" t="n"/>
      <c r="L97" s="418" t="n"/>
      <c r="M97" s="304" t="n"/>
    </row>
    <row r="98" ht="15.75" customHeight="1" s="279">
      <c r="A98" s="304" t="inlineStr">
        <is>
          <t>Hard problem</t>
        </is>
      </c>
      <c r="B98" s="474">
        <f>HYPERLINK("http://codeforces.com/contest/706/problem/C","CF706-D2-C")</f>
        <v/>
      </c>
      <c r="C98" s="418" t="n"/>
      <c r="D98" s="418" t="n"/>
      <c r="E98" s="418" t="n"/>
      <c r="F98" s="418" t="n"/>
      <c r="G98" s="418" t="n"/>
      <c r="H98" s="418" t="n"/>
      <c r="I98" s="404">
        <f>SUM(E98:H98)</f>
        <v/>
      </c>
      <c r="J98" s="404" t="n"/>
      <c r="K98" s="404" t="n"/>
      <c r="L98" s="418" t="n"/>
      <c r="M98" s="304" t="n"/>
    </row>
    <row r="99" ht="15.75" customHeight="1" s="279">
      <c r="A99" s="304" t="inlineStr">
        <is>
          <t>Unusual Product</t>
        </is>
      </c>
      <c r="B99" s="474">
        <f>HYPERLINK("http://codeforces.com/contest/405/problem/C","CF405-D2-C")</f>
        <v/>
      </c>
      <c r="C99" s="418" t="n"/>
      <c r="D99" s="418" t="n"/>
      <c r="E99" s="418" t="n"/>
      <c r="F99" s="418" t="n"/>
      <c r="G99" s="418" t="n"/>
      <c r="H99" s="418" t="n"/>
      <c r="I99" s="404">
        <f>SUM(E99:H99)</f>
        <v/>
      </c>
      <c r="J99" s="404" t="n"/>
      <c r="K99" s="404" t="n"/>
      <c r="L99" s="418" t="n"/>
      <c r="M99" s="304" t="n"/>
    </row>
    <row r="100" ht="15.75" customHeight="1" s="279">
      <c r="A100" s="304" t="inlineStr">
        <is>
          <t>Palindrome Transformation</t>
        </is>
      </c>
      <c r="B100" s="474">
        <f>HYPERLINK("http://codeforces.com/contest/486/problem/C","CF486-D2-C")</f>
        <v/>
      </c>
      <c r="C100" s="418" t="n"/>
      <c r="D100" s="418" t="n"/>
      <c r="E100" s="418" t="n"/>
      <c r="F100" s="418" t="n"/>
      <c r="G100" s="418" t="n"/>
      <c r="H100" s="418" t="n"/>
      <c r="I100" s="404">
        <f>SUM(E100:H100)</f>
        <v/>
      </c>
      <c r="J100" s="404" t="n"/>
      <c r="K100" s="404" t="n"/>
      <c r="L100" s="418" t="n"/>
      <c r="M100" s="304" t="n"/>
    </row>
    <row r="101" ht="15.75" customHeight="1" s="279">
      <c r="A101" s="295" t="inlineStr">
        <is>
          <t>Removing Columns</t>
        </is>
      </c>
      <c r="B101" s="417">
        <f>HYPERLINK("http://codeforces.com/contest/496/problem/C","CF496-D2-C")</f>
        <v/>
      </c>
      <c r="C101" s="418" t="n"/>
      <c r="D101" s="418" t="n"/>
      <c r="E101" s="418" t="n"/>
      <c r="F101" s="418" t="n"/>
      <c r="G101" s="418" t="n"/>
      <c r="H101" s="418" t="n"/>
      <c r="I101" s="404">
        <f>SUM(E101:H101)</f>
        <v/>
      </c>
      <c r="J101" s="404" t="n"/>
      <c r="K101" s="404" t="n"/>
      <c r="L101" s="295" t="n"/>
      <c r="M101" s="417">
        <f>HYPERLINK("https://www.youtube.com/watch?v=skSCRsMLPMI","Video Solution - Dr Mostafa Saad")</f>
        <v/>
      </c>
    </row>
    <row r="102" ht="15.75" customHeight="1" s="279">
      <c r="A102" s="295" t="inlineStr">
        <is>
          <t>Crazy Town</t>
        </is>
      </c>
      <c r="B102" s="417">
        <f>HYPERLINK("http://codeforces.com/contest/499/problem/C","CF499-D2-C")</f>
        <v/>
      </c>
      <c r="C102" s="418" t="n"/>
      <c r="D102" s="418" t="n"/>
      <c r="E102" s="418" t="n"/>
      <c r="F102" s="418" t="n"/>
      <c r="G102" s="418" t="n"/>
      <c r="H102" s="418" t="n"/>
      <c r="I102" s="404">
        <f>SUM(E102:H102)</f>
        <v/>
      </c>
      <c r="J102" s="295" t="n"/>
      <c r="K102" s="295" t="n"/>
      <c r="L102" s="295" t="n"/>
      <c r="M102" s="417">
        <f>HYPERLINK("https://www.youtube.com/watch?v=xwaGi6lx6Fg","Video Solution - Dr Mostafa Saad")</f>
        <v/>
      </c>
    </row>
    <row r="103" ht="15.75" customHeight="1" s="279">
      <c r="A103" s="482" t="inlineStr">
        <is>
          <t>Queue</t>
        </is>
      </c>
      <c r="B103" s="318">
        <f>HYPERLINK("http://codeforces.com/contest/490/problem/B","CF490-D2-B")</f>
        <v/>
      </c>
      <c r="C103" s="418" t="n"/>
      <c r="D103" s="418" t="n"/>
      <c r="E103" s="418" t="n"/>
      <c r="F103" s="418" t="n"/>
      <c r="G103" s="418" t="n"/>
      <c r="H103" s="418" t="n"/>
      <c r="I103" s="404">
        <f>SUM(E103:H103)</f>
        <v/>
      </c>
      <c r="J103" s="295" t="n"/>
      <c r="K103" s="295" t="n"/>
      <c r="L103" s="295" t="n"/>
      <c r="M103" s="417" t="n"/>
    </row>
    <row r="104" ht="15.75" customHeight="1" s="279">
      <c r="A104" s="482" t="inlineStr">
        <is>
          <t>Vika and Squares</t>
        </is>
      </c>
      <c r="B104" s="318">
        <f>HYPERLINK("http://codeforces.com/contest/610/problem/B","CF610-D2-B")</f>
        <v/>
      </c>
      <c r="C104" s="418" t="n"/>
      <c r="D104" s="418" t="n"/>
      <c r="E104" s="418" t="n"/>
      <c r="F104" s="418" t="n"/>
      <c r="G104" s="418" t="n"/>
      <c r="H104" s="418" t="n"/>
      <c r="I104" s="404">
        <f>SUM(E104:H104)</f>
        <v/>
      </c>
      <c r="J104" s="295" t="n"/>
      <c r="K104" s="295" t="n"/>
      <c r="L104" s="295" t="n"/>
      <c r="M104" s="417" t="n"/>
    </row>
    <row r="105" ht="15.75" customHeight="1" s="279">
      <c r="A105" s="482" t="inlineStr">
        <is>
          <t>Cosmic Tables</t>
        </is>
      </c>
      <c r="B105" s="318">
        <f>HYPERLINK("http://codeforces.com/contest/222/problem/B","CF222-D2-B")</f>
        <v/>
      </c>
      <c r="C105" s="418" t="n"/>
      <c r="D105" s="418" t="n"/>
      <c r="E105" s="418" t="n"/>
      <c r="F105" s="418" t="n"/>
      <c r="G105" s="418" t="n"/>
      <c r="H105" s="418" t="n"/>
      <c r="I105" s="404">
        <f>SUM(E105:H105)</f>
        <v/>
      </c>
      <c r="J105" s="295" t="n"/>
      <c r="K105" s="295" t="n"/>
      <c r="L105" s="295" t="n"/>
      <c r="M105" s="417" t="n"/>
    </row>
    <row r="106" ht="15.75" customHeight="1" s="279">
      <c r="A106" s="304" t="n"/>
      <c r="B106" s="304" t="n"/>
      <c r="C106" s="418" t="n"/>
      <c r="D106" s="418" t="n"/>
      <c r="E106" s="418" t="n"/>
      <c r="F106" s="418" t="n"/>
      <c r="G106" s="418" t="n"/>
      <c r="H106" s="418" t="n"/>
      <c r="I106" s="404">
        <f>SUM(E106:H106)</f>
        <v/>
      </c>
      <c r="J106" s="404" t="n"/>
      <c r="K106" s="404" t="n"/>
      <c r="L106" s="418" t="n"/>
      <c r="M106" s="458">
        <f>HYPERLINK("https://www.youtube.com/watch?v=5zILiqyQ2ts","Watch - Thinking - Incrementally")</f>
        <v/>
      </c>
    </row>
    <row r="107" ht="15.75" customHeight="1" s="279">
      <c r="A107" s="304" t="n"/>
      <c r="B107" s="304" t="n"/>
      <c r="C107" s="418" t="n"/>
      <c r="D107" s="418" t="n"/>
      <c r="E107" s="418" t="n"/>
      <c r="F107" s="418" t="n"/>
      <c r="G107" s="418" t="n"/>
      <c r="H107" s="418" t="n"/>
      <c r="I107" s="404">
        <f>SUM(E107:H107)</f>
        <v/>
      </c>
      <c r="J107" s="404" t="n"/>
      <c r="K107" s="404" t="n"/>
      <c r="L107" s="418" t="n"/>
      <c r="M107" s="458">
        <f>HYPERLINK("https://www.youtube.com/watch?v=9fwHOeebIgc","Watch - Thinking - Problem Domain re-interpretation")</f>
        <v/>
      </c>
    </row>
    <row r="108" ht="15.75" customHeight="1" s="279">
      <c r="A108" s="304" t="n"/>
      <c r="B108" s="304" t="n"/>
      <c r="C108" s="418" t="n"/>
      <c r="D108" s="418" t="n"/>
      <c r="E108" s="418" t="n"/>
      <c r="F108" s="418" t="n"/>
      <c r="G108" s="418" t="n"/>
      <c r="H108" s="418" t="n"/>
      <c r="I108" s="404">
        <f>SUM(E108:H108)</f>
        <v/>
      </c>
      <c r="J108" s="404" t="n"/>
      <c r="K108" s="404" t="n"/>
      <c r="L108" s="418" t="n"/>
      <c r="M108" s="458">
        <f>HYPERLINK("https://www.youtube.com/watch?v=-5ApOQDhBtU","Watch - Number Theory - Factorization")</f>
        <v/>
      </c>
    </row>
    <row r="109" ht="15.75" customHeight="1" s="279">
      <c r="A109" s="432" t="inlineStr">
        <is>
          <t>Prime Factors</t>
        </is>
      </c>
      <c r="B109" s="462">
        <f>HYPERLINK("https://uva.onlinejudge.org/index.php?option=com_onlinejudge&amp;Itemid=8&amp;page=show_problem&amp;problem=524","UVA 583")</f>
        <v/>
      </c>
      <c r="C109" s="418" t="n"/>
      <c r="D109" s="418" t="n"/>
      <c r="E109" s="418" t="n"/>
      <c r="F109" s="418" t="n"/>
      <c r="G109" s="418" t="n"/>
      <c r="H109" s="418" t="n"/>
      <c r="I109" s="404">
        <f>SUM(E109:H109)</f>
        <v/>
      </c>
      <c r="J109" s="404" t="n"/>
      <c r="K109" s="404" t="n"/>
      <c r="L109" s="418" t="n"/>
      <c r="M109" s="304" t="n"/>
    </row>
    <row r="110" ht="15.75" customHeight="1" s="279">
      <c r="A110" s="432" t="inlineStr">
        <is>
          <t>Mr. Azad and his Son</t>
        </is>
      </c>
      <c r="B110" s="462">
        <f>HYPERLINK("https://uva.onlinejudge.org/index.php?option=com_onlinejudge&amp;Itemid=8&amp;page=show_problem&amp;problem=1431","UVA 10490")</f>
        <v/>
      </c>
      <c r="C110" s="418" t="n"/>
      <c r="D110" s="418" t="n"/>
      <c r="E110" s="418" t="n"/>
      <c r="F110" s="418" t="n"/>
      <c r="G110" s="418" t="n"/>
      <c r="H110" s="418" t="n"/>
      <c r="I110" s="404">
        <f>SUM(E110:H110)</f>
        <v/>
      </c>
      <c r="J110" s="404" t="n"/>
      <c r="K110" s="404" t="n"/>
      <c r="L110" s="418" t="n"/>
      <c r="M110" s="474">
        <f>HYPERLINK("https://github.com/MohamedNabil97/CompetitiveProgramming/blob/master/UVA/10490.cpp","Sol to read")</f>
        <v/>
      </c>
    </row>
    <row r="111" ht="15.75" customHeight="1" s="279">
      <c r="A111" s="432" t="inlineStr">
        <is>
          <t>Perfect P-th Powers</t>
        </is>
      </c>
      <c r="B111" s="462">
        <f>HYPERLINK("https://uva.onlinejudge.org/index.php?option=onlinejudge&amp;page=show_problem&amp;problem=1563","UVA 10622")</f>
        <v/>
      </c>
      <c r="C111" s="418" t="n"/>
      <c r="D111" s="418" t="n"/>
      <c r="E111" s="418" t="n"/>
      <c r="F111" s="418" t="n"/>
      <c r="G111" s="418" t="n"/>
      <c r="H111" s="418" t="n"/>
      <c r="I111" s="404">
        <f>SUM(E111:H111)</f>
        <v/>
      </c>
      <c r="J111" s="404" t="n"/>
      <c r="K111" s="404" t="n"/>
      <c r="L111" s="418" t="n"/>
      <c r="M111" s="421">
        <f>HYPERLINK("https://www.youtube.com/watch?v=sRZgiQc5x7U","Video Solution - Eng Moaz Rashad")</f>
        <v/>
      </c>
    </row>
    <row r="112" ht="15.75" customHeight="1" s="279">
      <c r="A112" s="432" t="inlineStr">
        <is>
          <t>Prime Land</t>
        </is>
      </c>
      <c r="B112" s="462">
        <f>HYPERLINK("https://uva.onlinejudge.org/index.php?option=com_onlinejudge&amp;Itemid=8&amp;page=show_problem&amp;problem=457","UVA 516")</f>
        <v/>
      </c>
      <c r="C112" s="418" t="n"/>
      <c r="D112" s="418" t="n"/>
      <c r="E112" s="418" t="n"/>
      <c r="F112" s="418" t="n"/>
      <c r="G112" s="418" t="n"/>
      <c r="H112" s="418" t="n"/>
      <c r="I112" s="404">
        <f>SUM(E112:H112)</f>
        <v/>
      </c>
      <c r="J112" s="404" t="n"/>
      <c r="K112" s="404" t="n"/>
      <c r="L112" s="418" t="n"/>
      <c r="M112" s="474">
        <f>HYPERLINK("https://algorithmist.com/wiki/UVa_516_-_Prime_Land#_=_","Sol")</f>
        <v/>
      </c>
    </row>
    <row r="113" ht="15.75" customHeight="1" s="279">
      <c r="A113" s="437" t="n"/>
      <c r="B113" s="437" t="inlineStr">
        <is>
          <t>UVA 10920</t>
        </is>
      </c>
      <c r="C113" s="418" t="n"/>
      <c r="D113" s="418" t="n"/>
      <c r="E113" s="418" t="n"/>
      <c r="F113" s="418" t="n"/>
      <c r="G113" s="418" t="n"/>
      <c r="H113" s="418" t="n"/>
      <c r="I113" s="404">
        <f>SUM(E113:H113)</f>
        <v/>
      </c>
      <c r="J113" s="404" t="n"/>
      <c r="K113" s="404" t="n"/>
      <c r="L113" s="418" t="n"/>
      <c r="M113" s="421" t="inlineStr">
        <is>
          <t>Sol</t>
        </is>
      </c>
    </row>
    <row r="114" ht="15.75" customHeight="1" s="279">
      <c r="A114" s="437" t="n"/>
      <c r="B114" s="437" t="inlineStr">
        <is>
          <t>SRM274-D1-500</t>
        </is>
      </c>
      <c r="C114" s="418" t="n"/>
      <c r="D114" s="418" t="n"/>
      <c r="E114" s="418" t="n"/>
      <c r="F114" s="418" t="n"/>
      <c r="G114" s="418" t="n"/>
      <c r="H114" s="418" t="n"/>
      <c r="I114" s="404">
        <f>SUM(E114:H114)</f>
        <v/>
      </c>
      <c r="J114" s="404" t="n"/>
      <c r="K114" s="404" t="n"/>
      <c r="L114" s="418" t="n"/>
      <c r="M114" s="420" t="n"/>
    </row>
    <row r="115" ht="15.75" customHeight="1" s="279">
      <c r="A115" s="437" t="inlineStr">
        <is>
          <t>Spreadsheet</t>
        </is>
      </c>
      <c r="B115" s="317">
        <f>HYPERLINK("https://uva.onlinejudge.org/index.php?option=com_onlinejudge&amp;Itemid=8&amp;page=show_problem&amp;problem=132","UVA 196")</f>
        <v/>
      </c>
      <c r="C115" s="418" t="n"/>
      <c r="D115" s="418" t="n"/>
      <c r="E115" s="418" t="n"/>
      <c r="F115" s="418" t="n"/>
      <c r="G115" s="418" t="n"/>
      <c r="H115" s="418" t="n"/>
      <c r="I115" s="404">
        <f>SUM(E115:H115)</f>
        <v/>
      </c>
      <c r="J115" s="295" t="n"/>
      <c r="K115" s="295" t="n"/>
      <c r="L115" s="295" t="n"/>
      <c r="M115" s="472" t="inlineStr">
        <is>
          <t>Sol</t>
        </is>
      </c>
    </row>
    <row r="116" ht="15.75" customHeight="1" s="279">
      <c r="A116" s="304" t="n"/>
      <c r="B116" s="304" t="n"/>
      <c r="C116" s="418" t="n"/>
      <c r="D116" s="418" t="n"/>
      <c r="E116" s="418" t="n"/>
      <c r="F116" s="418" t="n"/>
      <c r="G116" s="418" t="n"/>
      <c r="H116" s="418" t="n"/>
      <c r="I116" s="404">
        <f>SUM(E116:H116)</f>
        <v/>
      </c>
      <c r="J116" s="404" t="n"/>
      <c r="K116" s="404" t="n"/>
      <c r="L116" s="418" t="n"/>
      <c r="M116" s="420" t="n"/>
    </row>
    <row r="117" ht="15.75" customHeight="1" s="279">
      <c r="A117" s="304" t="inlineStr">
        <is>
          <t>Text Editor</t>
        </is>
      </c>
      <c r="B117" s="474">
        <f>HYPERLINK("http://codeforces.com/contest/253/problem/C","CF253-D2-C")</f>
        <v/>
      </c>
      <c r="C117" s="418" t="n"/>
      <c r="D117" s="418" t="n"/>
      <c r="E117" s="418" t="n"/>
      <c r="F117" s="418" t="n"/>
      <c r="G117" s="418" t="n"/>
      <c r="H117" s="418" t="n"/>
      <c r="I117" s="404">
        <f>SUM(E117:H117)</f>
        <v/>
      </c>
      <c r="J117" s="404" t="n"/>
      <c r="K117" s="404" t="n"/>
      <c r="L117" s="418" t="n"/>
      <c r="M117" s="295" t="n"/>
    </row>
    <row r="118" ht="15.75" customHeight="1" s="279">
      <c r="A118" s="304" t="inlineStr">
        <is>
          <t>Alternative Thinking</t>
        </is>
      </c>
      <c r="B118" s="474">
        <f>HYPERLINK("http://codeforces.com/contest/604/problem/C","CF604-D2-C")</f>
        <v/>
      </c>
      <c r="C118" s="418" t="n"/>
      <c r="D118" s="418" t="n"/>
      <c r="E118" s="418" t="n"/>
      <c r="F118" s="418" t="n"/>
      <c r="G118" s="418" t="n"/>
      <c r="H118" s="418" t="n"/>
      <c r="I118" s="404">
        <f>SUM(E118:H118)</f>
        <v/>
      </c>
      <c r="J118" s="404" t="n"/>
      <c r="K118" s="404" t="n"/>
      <c r="L118" s="418" t="n"/>
      <c r="M118" s="295" t="n"/>
    </row>
    <row r="119" ht="15.75" customHeight="1" s="279">
      <c r="A119" s="304" t="inlineStr">
        <is>
          <t>Tennis Championship</t>
        </is>
      </c>
      <c r="B119" s="474">
        <f>HYPERLINK("http://codeforces.com/contest/735/problem/C","CF735-D2-C")</f>
        <v/>
      </c>
      <c r="C119" s="418" t="n"/>
      <c r="D119" s="418" t="n"/>
      <c r="E119" s="418" t="n"/>
      <c r="F119" s="418" t="n"/>
      <c r="G119" s="418" t="n"/>
      <c r="H119" s="418" t="n"/>
      <c r="I119" s="404">
        <f>SUM(E119:H119)</f>
        <v/>
      </c>
      <c r="J119" s="404" t="n"/>
      <c r="K119" s="404" t="n"/>
      <c r="L119" s="418" t="n"/>
      <c r="M119" s="295" t="n"/>
    </row>
    <row r="120" ht="15.75" customHeight="1" s="279">
      <c r="A120" s="304" t="inlineStr">
        <is>
          <t>Guess Your Way Out!</t>
        </is>
      </c>
      <c r="B120" s="474">
        <f>HYPERLINK("http://codeforces.com/contest/507/problem/C","CF507-D2-C")</f>
        <v/>
      </c>
      <c r="C120" s="418" t="n"/>
      <c r="D120" s="418" t="n"/>
      <c r="E120" s="418" t="n"/>
      <c r="F120" s="418" t="n"/>
      <c r="G120" s="418" t="n"/>
      <c r="H120" s="418" t="n"/>
      <c r="I120" s="404">
        <f>SUM(E120:H120)</f>
        <v/>
      </c>
      <c r="J120" s="404" t="n"/>
      <c r="K120" s="404" t="n"/>
      <c r="L120" s="418" t="n"/>
      <c r="M120" s="417">
        <f>HYPERLINK("https://www.youtube.com/watch?v=1Ki1L9BAJIQ","Video Solution - Dr Mostafa Saad")</f>
        <v/>
      </c>
    </row>
    <row r="121" ht="15.75" customHeight="1" s="279">
      <c r="A121" s="304" t="inlineStr">
        <is>
          <t>Biathlon</t>
        </is>
      </c>
      <c r="B121" s="474">
        <f>HYPERLINK("http://codeforces.com/contest/84/problem/C","CF84-D2-C")</f>
        <v/>
      </c>
      <c r="C121" s="418" t="n"/>
      <c r="D121" s="418" t="n"/>
      <c r="E121" s="418" t="n"/>
      <c r="F121" s="418" t="n"/>
      <c r="G121" s="418" t="n"/>
      <c r="H121" s="418" t="n"/>
      <c r="I121" s="404">
        <f>SUM(E121:H121)</f>
        <v/>
      </c>
      <c r="J121" s="404" t="n"/>
      <c r="K121" s="404" t="n"/>
      <c r="L121" s="418" t="n"/>
      <c r="M121" s="304" t="n"/>
    </row>
    <row r="122" ht="15.75" customHeight="1" s="279">
      <c r="A122" s="295" t="inlineStr">
        <is>
          <t>Marina and Vasya</t>
        </is>
      </c>
      <c r="B122" s="417">
        <f>HYPERLINK("http://codeforces.com/contest/584/problem/C","CF584-D2-C")</f>
        <v/>
      </c>
      <c r="C122" s="418" t="n"/>
      <c r="D122" s="418" t="n"/>
      <c r="E122" s="418" t="n"/>
      <c r="F122" s="418" t="n"/>
      <c r="G122" s="418" t="n"/>
      <c r="H122" s="418" t="n"/>
      <c r="I122" s="404">
        <f>SUM(E122:H122)</f>
        <v/>
      </c>
      <c r="J122" s="404" t="n"/>
      <c r="K122" s="404" t="n"/>
      <c r="L122" s="295" t="n"/>
      <c r="M122" s="295" t="n"/>
    </row>
    <row r="123" ht="15.75" customHeight="1" s="279">
      <c r="A123" s="420" t="inlineStr">
        <is>
          <t>Divide by Three</t>
        </is>
      </c>
      <c r="B123" s="421">
        <f>HYPERLINK("http://codeforces.com/contest/792/problem/C","CF792-D2-C")</f>
        <v/>
      </c>
      <c r="C123" s="418" t="n"/>
      <c r="D123" s="418" t="n"/>
      <c r="E123" s="418" t="n"/>
      <c r="F123" s="418" t="n"/>
      <c r="G123" s="418" t="n"/>
      <c r="H123" s="418" t="n"/>
      <c r="I123" s="404">
        <f>SUM(E123:H123)</f>
        <v/>
      </c>
      <c r="J123" s="404" t="n"/>
      <c r="K123" s="404" t="n"/>
      <c r="L123" s="295" t="n"/>
      <c r="M123" s="419">
        <f>HYPERLINK("https://www.youtube.com/watch?v=BgG5sjJslYk","Video Solution - Solver to be (Java)")</f>
        <v/>
      </c>
    </row>
    <row r="124" ht="15.75" customHeight="1" s="279">
      <c r="A124" s="482" t="inlineStr">
        <is>
          <t>Covered Path</t>
        </is>
      </c>
      <c r="B124" s="318">
        <f>HYPERLINK("http://codeforces.com/contest/534/problem/B","CF534-D2-B")</f>
        <v/>
      </c>
      <c r="C124" s="418" t="n"/>
      <c r="D124" s="418" t="n"/>
      <c r="E124" s="418" t="n"/>
      <c r="F124" s="418" t="n"/>
      <c r="G124" s="418" t="n"/>
      <c r="H124" s="418" t="n"/>
      <c r="I124" s="404">
        <f>SUM(E124:H124)</f>
        <v/>
      </c>
      <c r="J124" s="404" t="n"/>
      <c r="K124" s="404" t="n"/>
      <c r="L124" s="295" t="n"/>
      <c r="M124" s="295" t="n"/>
    </row>
    <row r="125" ht="15.75" customHeight="1" s="279">
      <c r="A125" s="482" t="inlineStr">
        <is>
          <t>Facetook Priority Wall</t>
        </is>
      </c>
      <c r="B125" s="318">
        <f>HYPERLINK("http://codeforces.com/contest/75/problem/B","CF75-D2-B")</f>
        <v/>
      </c>
      <c r="C125" s="418" t="n"/>
      <c r="D125" s="418" t="n"/>
      <c r="E125" s="418" t="n"/>
      <c r="F125" s="418" t="n"/>
      <c r="G125" s="418" t="n"/>
      <c r="H125" s="418" t="n"/>
      <c r="I125" s="404">
        <f>SUM(E125:H125)</f>
        <v/>
      </c>
      <c r="J125" s="404" t="n"/>
      <c r="K125" s="404" t="n"/>
      <c r="L125" s="295" t="n"/>
      <c r="M125" s="295" t="n"/>
    </row>
    <row r="126" ht="15.75" customHeight="1" s="279">
      <c r="A126" s="482" t="inlineStr">
        <is>
          <t>Treasure Hunt</t>
        </is>
      </c>
      <c r="B126" s="486">
        <f>HYPERLINK("http://codeforces.com/contest/979/problem/B","CF979-D2-B")</f>
        <v/>
      </c>
      <c r="C126" s="295" t="n"/>
      <c r="D126" s="295" t="n"/>
      <c r="E126" s="295" t="n"/>
      <c r="F126" s="295" t="n"/>
      <c r="G126" s="295" t="n"/>
      <c r="H126" s="295" t="n"/>
      <c r="I126" s="418">
        <f>SUM(E126:H126)</f>
        <v/>
      </c>
      <c r="J126" s="295" t="n"/>
      <c r="K126" s="295" t="n"/>
      <c r="L126" s="295" t="n"/>
      <c r="M126" s="417" t="inlineStr">
        <is>
          <t>Video Solution - Eng Mohamed Khaled</t>
        </is>
      </c>
    </row>
    <row r="127" ht="15.75" customHeight="1" s="279">
      <c r="A127" s="304" t="n"/>
      <c r="B127" s="304" t="n"/>
      <c r="C127" s="418" t="n"/>
      <c r="D127" s="418" t="n"/>
      <c r="E127" s="418" t="n"/>
      <c r="F127" s="418" t="n"/>
      <c r="G127" s="418" t="n"/>
      <c r="H127" s="418" t="n"/>
      <c r="I127" s="404">
        <f>SUM(E127:H127)</f>
        <v/>
      </c>
      <c r="J127" s="404" t="n"/>
      <c r="K127" s="404" t="n"/>
      <c r="L127" s="418" t="n"/>
      <c r="M127" s="304" t="n"/>
    </row>
    <row r="128" ht="15.75" customHeight="1" s="279">
      <c r="A128" s="437" t="inlineStr">
        <is>
          <t>How Many Points of ?</t>
        </is>
      </c>
      <c r="B128" s="438">
        <f>HYPERLINK("https://uva.onlinejudge.org/index.php?option=onlinejudge&amp;page=show_problem&amp;problem=1731","UVA 10790")</f>
        <v/>
      </c>
      <c r="C128" s="418" t="n"/>
      <c r="D128" s="418" t="n"/>
      <c r="E128" s="418" t="n"/>
      <c r="F128" s="418" t="n"/>
      <c r="G128" s="418" t="n"/>
      <c r="H128" s="418" t="n"/>
      <c r="I128" s="404">
        <f>SUM(E128:H128)</f>
        <v/>
      </c>
      <c r="J128" s="404" t="n"/>
      <c r="K128" s="404" t="n"/>
      <c r="L128" s="418" t="n"/>
      <c r="M128" s="474">
        <f>HYPERLINK("https://github.com/MeGaCrazy/CompetitiveProgramming/blob/5b920a5ddab614e30ea12e7e3a7da12267a203ec/UVA/UVA_10790.cpp","Sol")</f>
        <v/>
      </c>
    </row>
    <row r="129" ht="15.75" customHeight="1" s="279">
      <c r="A129" s="437" t="inlineStr">
        <is>
          <t>Factovisors</t>
        </is>
      </c>
      <c r="B129" s="438">
        <f>HYPERLINK("https://uva.onlinejudge.org/index.php?option=onlinejudge&amp;Itemid=8&amp;page=show_problem&amp;problem=1080","UVA 10139")</f>
        <v/>
      </c>
      <c r="C129" s="418" t="n"/>
      <c r="D129" s="418" t="n"/>
      <c r="E129" s="418" t="n"/>
      <c r="F129" s="418" t="n"/>
      <c r="G129" s="418" t="n"/>
      <c r="H129" s="418" t="n"/>
      <c r="I129" s="404">
        <f>SUM(E129:H129)</f>
        <v/>
      </c>
      <c r="J129" s="404" t="n"/>
      <c r="K129" s="404" t="n"/>
      <c r="L129" s="418" t="n"/>
      <c r="M129" s="485" t="inlineStr">
        <is>
          <t>Sol</t>
        </is>
      </c>
    </row>
    <row r="130" ht="15.75" customHeight="1" s="279">
      <c r="A130" s="437" t="inlineStr">
        <is>
          <t>Fractions Again?!</t>
        </is>
      </c>
      <c r="B130" s="438">
        <f>HYPERLINK("https://uva.onlinejudge.org/index.php?option=com_onlinejudge&amp;Itemid=8&amp;page=show_problem&amp;problem=1917","UVA 10976")</f>
        <v/>
      </c>
      <c r="C130" s="418" t="n"/>
      <c r="D130" s="418" t="n"/>
      <c r="E130" s="418" t="n"/>
      <c r="F130" s="418" t="n"/>
      <c r="G130" s="418" t="n"/>
      <c r="H130" s="418" t="n"/>
      <c r="I130" s="404">
        <f>SUM(E130:H130)</f>
        <v/>
      </c>
      <c r="J130" s="404" t="n"/>
      <c r="K130" s="404" t="n"/>
      <c r="L130" s="418" t="n"/>
      <c r="M130" s="474">
        <f>HYPERLINK("https://github.com/magdy-hasan/competitive-programming/blob/master/uva-/uva%2010976%20-%20Fractions%20Again!.cpp","Sol")</f>
        <v/>
      </c>
    </row>
    <row r="131" ht="15.75" customHeight="1" s="279">
      <c r="A131" s="437" t="inlineStr">
        <is>
          <t>Cut Ribbon</t>
        </is>
      </c>
      <c r="B131" s="438">
        <f>HYPERLINK("http://codeforces.com/contest/189/problem/A","CF189-D2-A")</f>
        <v/>
      </c>
      <c r="C131" s="418" t="n"/>
      <c r="D131" s="418" t="n"/>
      <c r="E131" s="418" t="n"/>
      <c r="F131" s="418" t="n"/>
      <c r="G131" s="418" t="n"/>
      <c r="H131" s="418" t="n"/>
      <c r="I131" s="404">
        <f>SUM(E131:H131)</f>
        <v/>
      </c>
      <c r="J131" s="404" t="n"/>
      <c r="K131" s="404" t="n"/>
      <c r="L131" s="295" t="n"/>
      <c r="M131" s="419">
        <f>HYPERLINK("https://www.youtube.com/watch?v=4VBt8sKocyw","Video Solution - Solver to be (Java)")</f>
        <v/>
      </c>
    </row>
    <row r="132" ht="15.75" customHeight="1" s="279">
      <c r="A132" s="304" t="n"/>
      <c r="B132" s="304" t="n"/>
      <c r="C132" s="418" t="n"/>
      <c r="D132" s="418" t="n"/>
      <c r="E132" s="418" t="n"/>
      <c r="F132" s="418" t="n"/>
      <c r="G132" s="418" t="n"/>
      <c r="H132" s="418" t="n"/>
      <c r="I132" s="404">
        <f>SUM(E132:H132)</f>
        <v/>
      </c>
      <c r="J132" s="404" t="n"/>
      <c r="K132" s="404" t="n"/>
      <c r="L132" s="418" t="n"/>
      <c r="M132" s="304" t="n"/>
    </row>
    <row r="133" ht="15.75" customHeight="1" s="279">
      <c r="C133" s="418" t="n"/>
      <c r="D133" s="418" t="n"/>
      <c r="E133" s="418" t="n"/>
      <c r="F133" s="418" t="n"/>
      <c r="G133" s="418" t="n"/>
      <c r="H133" s="418" t="n"/>
      <c r="I133" s="404">
        <f>SUM(E133:H133)</f>
        <v/>
      </c>
      <c r="J133" s="404" t="n"/>
      <c r="K133" s="404" t="n"/>
      <c r="L133" s="418" t="n"/>
      <c r="M133" s="487">
        <f>HYPERLINK("https://www.youtube.com/playlist?list=PLC58778F28211FA19","Watch - Probability - First 9 videos")</f>
        <v/>
      </c>
    </row>
    <row r="134" ht="15.75" customHeight="1" s="279">
      <c r="A134" s="432" t="inlineStr">
        <is>
          <t>Cows and Cars</t>
        </is>
      </c>
      <c r="B134" s="462">
        <f>HYPERLINK("https://uva.onlinejudge.org/index.php?option=onlinejudge&amp;page=show_problem&amp;problem=1432","UVA 10491")</f>
        <v/>
      </c>
      <c r="C134" s="418" t="n"/>
      <c r="D134" s="418" t="n"/>
      <c r="E134" s="418" t="n"/>
      <c r="F134" s="418" t="n"/>
      <c r="G134" s="418" t="n"/>
      <c r="H134" s="418" t="n"/>
      <c r="I134" s="404">
        <f>SUM(E134:H134)</f>
        <v/>
      </c>
      <c r="J134" s="404" t="n"/>
      <c r="K134" s="404" t="n"/>
      <c r="L134" s="418" t="n"/>
      <c r="M134" s="474">
        <f>HYPERLINK("https://www.probabilitycourse.com/","Revise Probability")</f>
        <v/>
      </c>
    </row>
    <row r="135" ht="15.75" customHeight="1" s="279">
      <c r="A135" s="432" t="inlineStr">
        <is>
          <t>What is the Probability?</t>
        </is>
      </c>
      <c r="B135" s="462">
        <f>HYPERLINK("https://uva.onlinejudge.org/index.php?option=com_onlinejudge&amp;Itemid=8&amp;page=show_problem&amp;problem=997","UVA 10056")</f>
        <v/>
      </c>
      <c r="C135" s="418" t="n"/>
      <c r="D135" s="418" t="n"/>
      <c r="E135" s="418" t="n"/>
      <c r="F135" s="418" t="n"/>
      <c r="G135" s="418" t="n"/>
      <c r="H135" s="418" t="n"/>
      <c r="I135" s="404">
        <f>SUM(E135:H135)</f>
        <v/>
      </c>
      <c r="J135" s="404" t="n"/>
      <c r="K135" s="404" t="n"/>
      <c r="L135" s="418" t="n"/>
      <c r="M135" s="474">
        <f>HYPERLINK("https://github.com/mostafa-saad/MyCompetitiveProgramming/blob/master/UVA/UVA_10056.txt","Sol")</f>
        <v/>
      </c>
    </row>
    <row r="136" ht="15.75" customHeight="1" s="279">
      <c r="A136" s="432" t="inlineStr">
        <is>
          <t>Let’s Dance</t>
        </is>
      </c>
      <c r="B136" s="462">
        <f>HYPERLINK("https://uva.onlinejudge.org/index.php?option=com_onlinejudge&amp;Itemid=8&amp;page=show_problem&amp;problem=1159","UVA 10218")</f>
        <v/>
      </c>
      <c r="C136" s="418" t="n"/>
      <c r="D136" s="418" t="n"/>
      <c r="E136" s="418" t="n"/>
      <c r="F136" s="418" t="n"/>
      <c r="G136" s="418" t="n"/>
      <c r="H136" s="418" t="n"/>
      <c r="I136" s="404">
        <f>SUM(E136:H136)</f>
        <v/>
      </c>
      <c r="J136" s="404" t="n"/>
      <c r="K136" s="404" t="n"/>
      <c r="L136" s="418" t="n"/>
      <c r="M136" s="474">
        <f>HYPERLINK("https://github.com/mostafa-saad/MyCompetitiveProgramming/blob/master/UVA/UVA_10218.txt","Sol")</f>
        <v/>
      </c>
    </row>
    <row r="137" ht="15.75" customHeight="1" s="279">
      <c r="A137" s="432" t="inlineStr">
        <is>
          <t>Probability|Given</t>
        </is>
      </c>
      <c r="B137" s="462">
        <f>HYPERLINK("https://uva.onlinejudge.org/index.php?option=com_onlinejudge&amp;Itemid=8&amp;page=show_problem&amp;problem=2122","UVA 11181")</f>
        <v/>
      </c>
      <c r="C137" s="418" t="n"/>
      <c r="D137" s="418" t="n"/>
      <c r="E137" s="418" t="n"/>
      <c r="F137" s="418" t="n"/>
      <c r="G137" s="418" t="n"/>
      <c r="H137" s="418" t="n"/>
      <c r="I137" s="404">
        <f>SUM(E137:H137)</f>
        <v/>
      </c>
      <c r="J137" s="404" t="n"/>
      <c r="K137" s="404" t="n"/>
      <c r="L137" s="418" t="n"/>
      <c r="M137" s="474">
        <f>HYPERLINK("https://github.com/MohamedNabil97/CompetitiveProgramming/blob/master/UVA/1181.cpp","Sol")</f>
        <v/>
      </c>
    </row>
    <row r="138" ht="15.75" customHeight="1" s="279">
      <c r="A138" s="432" t="inlineStr">
        <is>
          <t>Another lottery</t>
        </is>
      </c>
      <c r="B138" s="462">
        <f>HYPERLINK("https://uva.onlinejudge.org/index.php?option=com_onlinejudge&amp;Itemid=8&amp;page=show_problem&amp;problem=2675","UVA 11628")</f>
        <v/>
      </c>
      <c r="C138" s="418" t="n"/>
      <c r="D138" s="418" t="n"/>
      <c r="E138" s="418" t="n"/>
      <c r="F138" s="418" t="n"/>
      <c r="G138" s="418" t="n"/>
      <c r="H138" s="418" t="n"/>
      <c r="I138" s="404">
        <f>SUM(E138:H138)</f>
        <v/>
      </c>
      <c r="J138" s="404" t="n"/>
      <c r="K138" s="404" t="n"/>
      <c r="L138" s="418" t="n"/>
      <c r="M138" s="474">
        <f>HYPERLINK("https://github.com/mostafa-saad/MyCompetitiveProgramming/blob/master/UVA/UVA_11628.txt","Sol")</f>
        <v/>
      </c>
    </row>
    <row r="139" ht="15.75" customHeight="1" s="279">
      <c r="A139" s="432" t="inlineStr">
        <is>
          <t>Airplane</t>
        </is>
      </c>
      <c r="B139" s="462">
        <f>HYPERLINK("https://uva.onlinejudge.org/index.php?option=com_onlinejudge&amp;Itemid=8&amp;page=show_problem&amp;problem=3904","UVA 12461")</f>
        <v/>
      </c>
      <c r="C139" s="418" t="n"/>
      <c r="D139" s="418" t="n"/>
      <c r="E139" s="418" t="n"/>
      <c r="F139" s="418" t="n"/>
      <c r="G139" s="418" t="n"/>
      <c r="H139" s="418" t="n"/>
      <c r="I139" s="404">
        <f>SUM(E139:H139)</f>
        <v/>
      </c>
      <c r="J139" s="404" t="n"/>
      <c r="K139" s="404" t="n"/>
      <c r="L139" s="418" t="n"/>
      <c r="M139" s="475">
        <f>HYPERLINK("https://github.com/VAMPIER000001/CompetitiveProgramming/blob/master/UVA/V-124/UVA%2012461.Cpp","Sol")</f>
        <v/>
      </c>
    </row>
    <row r="140" ht="15.75" customHeight="1" s="279">
      <c r="A140" s="437" t="n"/>
      <c r="B140" s="438">
        <f>HYPERLINK("https://www.hackerrank.com/contests/infinitum18/challenges/tower-3-coloring","HACKR tower-3-coloring")</f>
        <v/>
      </c>
      <c r="C140" s="418" t="n"/>
      <c r="D140" s="418" t="n"/>
      <c r="E140" s="418" t="n"/>
      <c r="F140" s="418" t="n"/>
      <c r="G140" s="418" t="n"/>
      <c r="H140" s="418" t="n"/>
      <c r="I140" s="404">
        <f>SUM(E140:H140)</f>
        <v/>
      </c>
      <c r="J140" s="404" t="n"/>
      <c r="K140" s="404" t="n"/>
      <c r="L140" s="418" t="n"/>
      <c r="M140" s="475">
        <f>HYPERLINK("https://en.wikipedia.org/wiki/Fermat%27s_little_theorem","Learn  Fermat's little theorem")</f>
        <v/>
      </c>
    </row>
    <row r="141" ht="15.75" customHeight="1" s="279">
      <c r="A141" s="437" t="n"/>
      <c r="B141" s="438">
        <f>HYPERLINK("http://codeforces.com/contest/445/problem/C","CF445-D2-C")</f>
        <v/>
      </c>
      <c r="C141" s="418" t="n"/>
      <c r="D141" s="418" t="n"/>
      <c r="E141" s="418" t="n"/>
      <c r="F141" s="418" t="n"/>
      <c r="G141" s="418" t="n"/>
      <c r="H141" s="418" t="n"/>
      <c r="I141" s="404">
        <f>SUM(E141:H141)</f>
        <v/>
      </c>
      <c r="J141" s="404" t="n"/>
      <c r="K141" s="404" t="n"/>
      <c r="L141" s="418" t="n"/>
      <c r="M141" s="420" t="n"/>
    </row>
    <row r="142" ht="15.75" customHeight="1" s="279">
      <c r="A142" s="437" t="n"/>
      <c r="B142" s="438">
        <f>HYPERLINK("https://www.hackerrank.com/challenges/a-circle-and-a-square","HACKR a-circle-and-a-square")</f>
        <v/>
      </c>
      <c r="C142" s="418" t="n"/>
      <c r="D142" s="418" t="n"/>
      <c r="E142" s="418" t="n"/>
      <c r="F142" s="418" t="n"/>
      <c r="G142" s="418" t="n"/>
      <c r="H142" s="418" t="n"/>
      <c r="I142" s="404">
        <f>SUM(E142:H142)</f>
        <v/>
      </c>
      <c r="J142" s="404" t="n"/>
      <c r="K142" s="404" t="n"/>
      <c r="L142" s="418" t="n"/>
      <c r="M142" s="420" t="n"/>
    </row>
    <row r="143" ht="15.75" customHeight="1" s="279">
      <c r="A143" s="437" t="n"/>
      <c r="B143" s="317" t="inlineStr">
        <is>
          <t>UVA 11573</t>
        </is>
      </c>
      <c r="C143" s="418" t="n"/>
      <c r="D143" s="418" t="n"/>
      <c r="E143" s="418" t="n"/>
      <c r="F143" s="418" t="n"/>
      <c r="G143" s="418" t="n"/>
      <c r="H143" s="418" t="n"/>
      <c r="I143" s="404">
        <f>SUM(E143:H143)</f>
        <v/>
      </c>
      <c r="J143" s="404" t="n"/>
      <c r="K143" s="404" t="n"/>
      <c r="L143" s="418" t="n"/>
      <c r="M143" s="474">
        <f>HYPERLINK("https://www.geeksforgeeks.org/0-1-bfs-shortest-path-binary-graph/","Learn 0/1 BFS")</f>
        <v/>
      </c>
    </row>
    <row r="144" ht="15.75" customHeight="1" s="279">
      <c r="A144" s="437" t="inlineStr">
        <is>
          <t>Rankings</t>
        </is>
      </c>
      <c r="B144" s="438">
        <f>HYPERLINK("https://uva.onlinejudge.org/index.php?option=com_onlinejudge&amp;Itemid=8&amp;page=show_problem&amp;problem=3415","UVA 12263")</f>
        <v/>
      </c>
      <c r="C144" s="295" t="n"/>
      <c r="D144" s="295" t="n"/>
      <c r="E144" s="295" t="n"/>
      <c r="F144" s="295" t="n"/>
      <c r="G144" s="295" t="n"/>
      <c r="H144" s="295" t="n"/>
      <c r="I144" s="418">
        <f>SUM(E144:H144)</f>
        <v/>
      </c>
      <c r="J144" s="295" t="n"/>
      <c r="K144" s="295" t="n"/>
      <c r="L144" s="295" t="n"/>
      <c r="M144" s="417">
        <f>HYPERLINK("https://github.com/mostafa-saad/MyCompetitiveProgramming/blob/master/UVA/UVA_12263.txt","Sol")</f>
        <v/>
      </c>
    </row>
    <row r="145" ht="15.75" customHeight="1" s="279">
      <c r="C145" s="418" t="n"/>
      <c r="D145" s="418" t="n"/>
      <c r="E145" s="418" t="n"/>
      <c r="F145" s="418" t="n"/>
      <c r="G145" s="418" t="n"/>
      <c r="H145" s="418" t="n"/>
      <c r="I145" s="404">
        <f>SUM(E145:H145)</f>
        <v/>
      </c>
      <c r="J145" s="404" t="n"/>
      <c r="K145" s="404" t="n"/>
      <c r="L145" s="418" t="n"/>
      <c r="M145" s="420" t="n"/>
    </row>
    <row r="146" ht="15.75" customHeight="1" s="279">
      <c r="A146" s="304" t="inlineStr">
        <is>
          <t>Hacker, pack your bags!</t>
        </is>
      </c>
      <c r="B146" s="474">
        <f>HYPERLINK("http://codeforces.com/contest/822/problem/C","CF822-D2-C")</f>
        <v/>
      </c>
      <c r="C146" s="418" t="n"/>
      <c r="D146" s="418" t="n"/>
      <c r="E146" s="418" t="n"/>
      <c r="F146" s="418" t="n"/>
      <c r="G146" s="418" t="n"/>
      <c r="H146" s="418" t="n"/>
      <c r="I146" s="404">
        <f>SUM(E146:H146)</f>
        <v/>
      </c>
      <c r="J146" s="404" t="n"/>
      <c r="K146" s="404" t="n"/>
      <c r="L146" s="418" t="n"/>
      <c r="M146" s="419">
        <f>HYPERLINK("https://www.youtube.com/watch?v=VvR9spazigA","Video Solution - Solver to be (Java)")</f>
        <v/>
      </c>
    </row>
    <row r="147" ht="15.75" customHeight="1" s="279">
      <c r="A147" s="304" t="inlineStr">
        <is>
          <t>The Meaningless Game</t>
        </is>
      </c>
      <c r="B147" s="474">
        <f>HYPERLINK("http://codeforces.com/contest/834/problem/C","CF834-D2-C")</f>
        <v/>
      </c>
      <c r="C147" s="418" t="n"/>
      <c r="D147" s="418" t="n"/>
      <c r="E147" s="418" t="n"/>
      <c r="F147" s="418" t="n"/>
      <c r="G147" s="418" t="n"/>
      <c r="H147" s="418" t="n"/>
      <c r="I147" s="404">
        <f>SUM(E147:H147)</f>
        <v/>
      </c>
      <c r="J147" s="404" t="n"/>
      <c r="K147" s="404" t="n"/>
      <c r="L147" s="418" t="n"/>
      <c r="M147" s="419">
        <f>HYPERLINK("https://www.youtube.com/watch?v=tge-NMPdndc","Video Solution - Solver to be (Java)")</f>
        <v/>
      </c>
    </row>
    <row r="148" ht="15.75" customHeight="1" s="279">
      <c r="A148" s="304" t="inlineStr">
        <is>
          <t>Star sky</t>
        </is>
      </c>
      <c r="B148" s="474">
        <f>HYPERLINK("http://codeforces.com/contest/835/problem/C","CF835-D2-C")</f>
        <v/>
      </c>
      <c r="C148" s="418" t="n"/>
      <c r="D148" s="418" t="n"/>
      <c r="E148" s="418" t="n"/>
      <c r="F148" s="418" t="n"/>
      <c r="G148" s="418" t="n"/>
      <c r="H148" s="418" t="n"/>
      <c r="I148" s="404">
        <f>SUM(E148:H148)</f>
        <v/>
      </c>
      <c r="J148" s="404" t="n"/>
      <c r="K148" s="404" t="n"/>
      <c r="L148" s="418" t="n"/>
      <c r="M148" s="419">
        <f>HYPERLINK("https://www.youtube.com/watch?v=McKM0CgVLUM","Video Solution - Solver to be (Java)")</f>
        <v/>
      </c>
    </row>
    <row r="149" ht="15.75" customHeight="1" s="279">
      <c r="A149" s="476" t="n"/>
      <c r="B149" s="476" t="n"/>
      <c r="C149" s="477" t="n"/>
      <c r="D149" s="477" t="n"/>
      <c r="E149" s="477" t="n"/>
      <c r="F149" s="477" t="n"/>
      <c r="G149" s="477" t="n"/>
      <c r="H149" s="477" t="n"/>
      <c r="I149" s="477">
        <f>SUM(E149:G149)</f>
        <v/>
      </c>
      <c r="J149" s="477" t="n"/>
      <c r="K149" s="477" t="n"/>
      <c r="L149" s="477" t="n"/>
      <c r="M149" s="476" t="n"/>
    </row>
    <row r="150" ht="23.25" customHeight="1" s="279">
      <c r="A150" s="295" t="n"/>
      <c r="B150" s="295" t="n"/>
      <c r="C150" s="418" t="n"/>
      <c r="D150" s="478" t="inlineStr">
        <is>
          <t>Optional Problems</t>
        </is>
      </c>
      <c r="H150" s="418" t="n"/>
      <c r="I150" s="418">
        <f>SUM(E150:G150)</f>
        <v/>
      </c>
      <c r="J150" s="479" t="inlineStr">
        <is>
          <t>You don't have to or encouraged to solve the next problem. If you felt you need so, try some of them. Or Proceed to next and solve in parallel, up to you.</t>
        </is>
      </c>
    </row>
    <row r="151" ht="15.75" customHeight="1" s="279">
      <c r="A151" s="476" t="n"/>
      <c r="B151" s="476" t="n"/>
      <c r="C151" s="477" t="n"/>
      <c r="D151" s="477" t="n"/>
      <c r="E151" s="477" t="n"/>
      <c r="F151" s="477" t="n"/>
      <c r="G151" s="477" t="n"/>
      <c r="H151" s="477" t="n"/>
      <c r="I151" s="477">
        <f>SUM(E151:G151)</f>
        <v/>
      </c>
      <c r="J151" s="477" t="n"/>
      <c r="K151" s="477" t="n"/>
      <c r="L151" s="477" t="n"/>
      <c r="M151" s="476" t="n"/>
    </row>
    <row r="152" ht="15.75" customHeight="1" s="279">
      <c r="A152" s="304" t="inlineStr">
        <is>
          <t>Diverse Permutation</t>
        </is>
      </c>
      <c r="B152" s="474">
        <f>HYPERLINK("http://codeforces.com/contest/483/problem/C","CF483-D2-C")</f>
        <v/>
      </c>
      <c r="C152" s="418" t="n"/>
      <c r="D152" s="418" t="n"/>
      <c r="E152" s="418" t="n"/>
      <c r="F152" s="418" t="n"/>
      <c r="G152" s="418" t="n"/>
      <c r="H152" s="418" t="n"/>
      <c r="I152" s="404">
        <f>SUM(E152:H152)</f>
        <v/>
      </c>
      <c r="J152" s="404" t="n"/>
      <c r="K152" s="404" t="n"/>
      <c r="L152" s="418" t="n"/>
      <c r="M152" s="295" t="n"/>
    </row>
    <row r="153" ht="15.75" customHeight="1" s="279">
      <c r="A153" s="304" t="inlineStr">
        <is>
          <t>Replacement</t>
        </is>
      </c>
      <c r="B153" s="474">
        <f>HYPERLINK("http://codeforces.com/contest/136/problem/C","CF136-D2-C")</f>
        <v/>
      </c>
      <c r="C153" s="418" t="n"/>
      <c r="D153" s="418" t="n"/>
      <c r="E153" s="418" t="n"/>
      <c r="F153" s="418" t="n"/>
      <c r="G153" s="418" t="n"/>
      <c r="H153" s="418" t="n"/>
      <c r="I153" s="404">
        <f>SUM(E153:H153)</f>
        <v/>
      </c>
      <c r="J153" s="404" t="n"/>
      <c r="K153" s="404" t="n"/>
      <c r="L153" s="418" t="n"/>
      <c r="M153" s="295" t="n"/>
    </row>
    <row r="154" ht="15.75" customHeight="1" s="279">
      <c r="A154" s="304" t="inlineStr">
        <is>
          <t>Homework</t>
        </is>
      </c>
      <c r="B154" s="474">
        <f>HYPERLINK("http://codeforces.com/contest/102/problem/C","CF102-D2-C")</f>
        <v/>
      </c>
      <c r="C154" s="418" t="n"/>
      <c r="D154" s="418" t="n"/>
      <c r="E154" s="418" t="n"/>
      <c r="F154" s="418" t="n"/>
      <c r="G154" s="418" t="n"/>
      <c r="H154" s="418" t="n"/>
      <c r="I154" s="404">
        <f>SUM(E154:H154)</f>
        <v/>
      </c>
      <c r="J154" s="404" t="n"/>
      <c r="K154" s="404" t="n"/>
      <c r="L154" s="418" t="n"/>
      <c r="M154" s="295" t="n"/>
    </row>
    <row r="155" ht="15.75" customHeight="1" s="279">
      <c r="A155" s="304" t="inlineStr">
        <is>
          <t>Little Elephant and Problem</t>
        </is>
      </c>
      <c r="B155" s="474">
        <f>HYPERLINK("http://codeforces.com/contest/221/problem/C","CF221-D2-C")</f>
        <v/>
      </c>
      <c r="C155" s="418" t="n"/>
      <c r="D155" s="418" t="n"/>
      <c r="E155" s="418" t="n"/>
      <c r="F155" s="418" t="n"/>
      <c r="G155" s="418" t="n"/>
      <c r="H155" s="418" t="n"/>
      <c r="I155" s="404">
        <f>SUM(E155:H155)</f>
        <v/>
      </c>
      <c r="J155" s="404" t="n"/>
      <c r="K155" s="404" t="n"/>
      <c r="L155" s="418" t="n"/>
      <c r="M155" s="295" t="n"/>
    </row>
    <row r="156" ht="15.75" customHeight="1" s="279">
      <c r="A156" s="304" t="inlineStr">
        <is>
          <t>Developing Skills</t>
        </is>
      </c>
      <c r="B156" s="474">
        <f>HYPERLINK("http://codeforces.com/contest/581/problem/C","CF581-D2-C")</f>
        <v/>
      </c>
      <c r="C156" s="418" t="n"/>
      <c r="D156" s="418" t="n"/>
      <c r="E156" s="418" t="n"/>
      <c r="F156" s="418" t="n"/>
      <c r="G156" s="418" t="n"/>
      <c r="H156" s="418" t="n"/>
      <c r="I156" s="404">
        <f>SUM(E156:H156)</f>
        <v/>
      </c>
      <c r="J156" s="404" t="n"/>
      <c r="K156" s="404" t="n"/>
      <c r="L156" s="418" t="n"/>
      <c r="M156" s="295" t="n"/>
    </row>
    <row r="157" ht="15.75" customHeight="1" s="279">
      <c r="A157" s="304" t="inlineStr">
        <is>
          <t>Maxim and Discounts</t>
        </is>
      </c>
      <c r="B157" s="474">
        <f>HYPERLINK("http://codeforces.com/contest/262/problem/C","CF262-D2-C")</f>
        <v/>
      </c>
      <c r="C157" s="418" t="n"/>
      <c r="D157" s="418" t="n"/>
      <c r="E157" s="418" t="n"/>
      <c r="F157" s="418" t="n"/>
      <c r="G157" s="418" t="n"/>
      <c r="H157" s="418" t="n"/>
      <c r="I157" s="404">
        <f>SUM(E157:H157)</f>
        <v/>
      </c>
      <c r="J157" s="404" t="n"/>
      <c r="K157" s="404" t="n"/>
      <c r="L157" s="418" t="n"/>
      <c r="M157" s="295" t="n"/>
    </row>
    <row r="158" ht="15.75" customHeight="1" s="279">
      <c r="A158" s="304" t="inlineStr">
        <is>
          <t>Fox and Box Accumulation</t>
        </is>
      </c>
      <c r="B158" s="474">
        <f>HYPERLINK("http://codeforces.com/contest/389/problem/C","CF389-D2-C")</f>
        <v/>
      </c>
      <c r="C158" s="418" t="n"/>
      <c r="D158" s="418" t="n"/>
      <c r="E158" s="418" t="n"/>
      <c r="F158" s="418" t="n"/>
      <c r="G158" s="418" t="n"/>
      <c r="H158" s="418" t="n"/>
      <c r="I158" s="404">
        <f>SUM(E158:H158)</f>
        <v/>
      </c>
      <c r="J158" s="404" t="n"/>
      <c r="K158" s="404" t="n"/>
      <c r="L158" s="418" t="n"/>
      <c r="M158" s="295" t="n"/>
    </row>
    <row r="159" ht="15.75" customHeight="1" s="279">
      <c r="A159" s="304" t="inlineStr">
        <is>
          <t>Ice Skating</t>
        </is>
      </c>
      <c r="B159" s="474">
        <f>HYPERLINK("http://codeforces.com/contest/218/problem/C","CF218-D2-C")</f>
        <v/>
      </c>
      <c r="C159" s="418" t="n"/>
      <c r="D159" s="418" t="n"/>
      <c r="E159" s="418" t="n"/>
      <c r="F159" s="418" t="n"/>
      <c r="G159" s="418" t="n"/>
      <c r="H159" s="418" t="n"/>
      <c r="I159" s="404">
        <f>SUM(E159:H159)</f>
        <v/>
      </c>
      <c r="J159" s="404" t="n"/>
      <c r="K159" s="404" t="n"/>
      <c r="L159" s="418" t="n"/>
      <c r="M159" s="295" t="n"/>
    </row>
    <row r="160" ht="15.75" customHeight="1" s="279">
      <c r="A160" s="304" t="inlineStr">
        <is>
          <t>Valera and Tubes</t>
        </is>
      </c>
      <c r="B160" s="474">
        <f>HYPERLINK("http://codeforces.com/contest/441/problem/C","CF441-D2-C")</f>
        <v/>
      </c>
      <c r="C160" s="418" t="n"/>
      <c r="D160" s="418" t="n"/>
      <c r="E160" s="418" t="n"/>
      <c r="F160" s="418" t="n"/>
      <c r="G160" s="418" t="n"/>
      <c r="H160" s="418" t="n"/>
      <c r="I160" s="404">
        <f>SUM(E160:H160)</f>
        <v/>
      </c>
      <c r="J160" s="404" t="n"/>
      <c r="K160" s="404" t="n"/>
      <c r="L160" s="418" t="n"/>
      <c r="M160" s="295" t="n"/>
    </row>
    <row r="161" ht="15.75" customHeight="1" s="279">
      <c r="A161" s="304" t="inlineStr">
        <is>
          <t>Secret</t>
        </is>
      </c>
      <c r="B161" s="474">
        <f>HYPERLINK("http://codeforces.com/contest/271/problem/C","CF271-D2-C")</f>
        <v/>
      </c>
      <c r="C161" s="418" t="n"/>
      <c r="D161" s="418" t="n"/>
      <c r="E161" s="418" t="n"/>
      <c r="F161" s="418" t="n"/>
      <c r="G161" s="418" t="n"/>
      <c r="H161" s="418" t="n"/>
      <c r="I161" s="404">
        <f>SUM(E161:H161)</f>
        <v/>
      </c>
      <c r="J161" s="404" t="n"/>
      <c r="K161" s="404" t="n"/>
      <c r="L161" s="418" t="n"/>
      <c r="M161" s="295" t="n"/>
    </row>
    <row r="162" ht="15.75" customHeight="1" s="279">
      <c r="A162" s="304" t="inlineStr">
        <is>
          <t>Key Task</t>
        </is>
      </c>
      <c r="B162" s="474">
        <f>HYPERLINK("http://www.spoj.com/problems/CERC07K/","SPOJ CERC07K")</f>
        <v/>
      </c>
      <c r="C162" s="295" t="n"/>
      <c r="D162" s="295" t="n"/>
      <c r="E162" s="295" t="n"/>
      <c r="F162" s="295" t="n"/>
      <c r="G162" s="295" t="n"/>
      <c r="H162" s="295" t="n"/>
      <c r="I162" s="418">
        <f>SUM(E162:H162)</f>
        <v/>
      </c>
      <c r="J162" s="295" t="n"/>
      <c r="K162" s="295" t="n"/>
      <c r="L162" s="295" t="n"/>
      <c r="M162" s="295" t="n"/>
    </row>
    <row r="163" ht="15.75" customHeight="1" s="279">
      <c r="A163" s="304" t="inlineStr">
        <is>
          <t>Cleaning Robot</t>
        </is>
      </c>
      <c r="B163" s="474">
        <f>HYPERLINK("http://www.spoj.com/problems/CLEANRBT/","SPOJ CLEANRBT")</f>
        <v/>
      </c>
      <c r="C163" s="295" t="n"/>
      <c r="D163" s="295" t="n"/>
      <c r="E163" s="295" t="n"/>
      <c r="F163" s="295" t="n"/>
      <c r="G163" s="295" t="n"/>
      <c r="H163" s="295" t="n"/>
      <c r="I163" s="418">
        <f>SUM(E163:H163)</f>
        <v/>
      </c>
      <c r="J163" s="295" t="n"/>
      <c r="K163" s="295" t="n"/>
      <c r="L163" s="295" t="n"/>
      <c r="M163" s="295" t="n"/>
    </row>
    <row r="164" ht="15.75" customHeight="1" s="279">
      <c r="A164" s="304" t="n"/>
      <c r="B164" s="304" t="n"/>
      <c r="C164" s="418" t="n"/>
      <c r="D164" s="418" t="n"/>
      <c r="E164" s="418" t="n"/>
      <c r="F164" s="418" t="n"/>
      <c r="G164" s="418" t="n"/>
      <c r="H164" s="418" t="n"/>
      <c r="I164" s="404">
        <f>SUM(E164:H164)</f>
        <v/>
      </c>
      <c r="J164" s="404" t="n"/>
      <c r="K164" s="404" t="n"/>
      <c r="L164" s="418" t="n"/>
      <c r="M164" s="295" t="n"/>
    </row>
    <row r="165" ht="15.75" customHeight="1" s="279">
      <c r="A165" s="304" t="inlineStr">
        <is>
          <t>They Are Everywhere</t>
        </is>
      </c>
      <c r="B165" s="474">
        <f>HYPERLINK("http://codeforces.com/contest/701/problem/C","CF701-D2-C")</f>
        <v/>
      </c>
      <c r="C165" s="418" t="n"/>
      <c r="D165" s="418" t="n"/>
      <c r="E165" s="418" t="n"/>
      <c r="F165" s="418" t="n"/>
      <c r="G165" s="418" t="n"/>
      <c r="H165" s="418" t="n"/>
      <c r="I165" s="404">
        <f>SUM(E165:H165)</f>
        <v/>
      </c>
      <c r="J165" s="404" t="n"/>
      <c r="K165" s="404" t="n"/>
      <c r="L165" s="418" t="n"/>
      <c r="M165" s="295" t="n"/>
    </row>
    <row r="166" ht="15.75" customHeight="1" s="279">
      <c r="A166" s="304" t="inlineStr">
        <is>
          <t>Monitor</t>
        </is>
      </c>
      <c r="B166" s="474">
        <f>HYPERLINK("http://codeforces.com/contest/16/problem/C","CF16-D2-C")</f>
        <v/>
      </c>
      <c r="C166" s="418" t="n"/>
      <c r="D166" s="418" t="n"/>
      <c r="E166" s="418" t="n"/>
      <c r="F166" s="418" t="n"/>
      <c r="G166" s="418" t="n"/>
      <c r="H166" s="418" t="n"/>
      <c r="I166" s="404">
        <f>SUM(E166:H166)</f>
        <v/>
      </c>
      <c r="J166" s="404" t="n"/>
      <c r="K166" s="404" t="n"/>
      <c r="L166" s="418" t="n"/>
      <c r="M166" s="295" t="n"/>
    </row>
    <row r="167" ht="15.75" customHeight="1" s="279">
      <c r="A167" s="304" t="inlineStr">
        <is>
          <t>System Administrator</t>
        </is>
      </c>
      <c r="B167" s="474">
        <f>HYPERLINK("http://codeforces.com/contest/22/problem/C","CF22-D2-C")</f>
        <v/>
      </c>
      <c r="C167" s="418" t="n"/>
      <c r="D167" s="418" t="n"/>
      <c r="E167" s="418" t="n"/>
      <c r="F167" s="418" t="n"/>
      <c r="G167" s="418" t="n"/>
      <c r="H167" s="418" t="n"/>
      <c r="I167" s="404">
        <f>SUM(E167:H167)</f>
        <v/>
      </c>
      <c r="J167" s="404" t="n"/>
      <c r="K167" s="404" t="n"/>
      <c r="L167" s="418" t="n"/>
      <c r="M167" s="295" t="n"/>
    </row>
    <row r="168" ht="15.75" customHeight="1" s="279">
      <c r="A168" s="304" t="inlineStr">
        <is>
          <t>Lucky Sum</t>
        </is>
      </c>
      <c r="B168" s="474">
        <f>HYPERLINK("http://codeforces.com/contest/122/problem/C","CF122-D2-C")</f>
        <v/>
      </c>
      <c r="C168" s="418" t="n"/>
      <c r="D168" s="418" t="n"/>
      <c r="E168" s="418" t="n"/>
      <c r="F168" s="418" t="n"/>
      <c r="G168" s="418" t="n"/>
      <c r="H168" s="418" t="n"/>
      <c r="I168" s="404">
        <f>SUM(E168:H168)</f>
        <v/>
      </c>
      <c r="J168" s="404" t="n"/>
      <c r="K168" s="404" t="n"/>
      <c r="L168" s="418" t="n"/>
      <c r="M168" s="295" t="n"/>
    </row>
    <row r="169" ht="15.75" customHeight="1" s="279">
      <c r="A169" s="304" t="inlineStr">
        <is>
          <t>NP-Hard Problem</t>
        </is>
      </c>
      <c r="B169" s="474">
        <f>HYPERLINK("http://codeforces.com/contest/688/problem/C","CF688-D2-C")</f>
        <v/>
      </c>
      <c r="C169" s="418" t="n"/>
      <c r="D169" s="418" t="n"/>
      <c r="E169" s="418" t="n"/>
      <c r="F169" s="418" t="n"/>
      <c r="G169" s="418" t="n"/>
      <c r="H169" s="418" t="n"/>
      <c r="I169" s="404">
        <f>SUM(E169:H169)</f>
        <v/>
      </c>
      <c r="J169" s="404" t="n"/>
      <c r="K169" s="404" t="n"/>
      <c r="L169" s="418" t="n"/>
      <c r="M169" s="295" t="n"/>
    </row>
    <row r="170" ht="15.75" customHeight="1" s="279">
      <c r="A170" s="304" t="inlineStr">
        <is>
          <t>Vladik and fractions</t>
        </is>
      </c>
      <c r="B170" s="474">
        <f>HYPERLINK("http://codeforces.com/contest/743/problem/C","CF743-D2-C")</f>
        <v/>
      </c>
      <c r="C170" s="418" t="n"/>
      <c r="D170" s="418" t="n"/>
      <c r="E170" s="418" t="n"/>
      <c r="F170" s="418" t="n"/>
      <c r="G170" s="418" t="n"/>
      <c r="H170" s="418" t="n"/>
      <c r="I170" s="404">
        <f>SUM(E170:H170)</f>
        <v/>
      </c>
      <c r="J170" s="404" t="n"/>
      <c r="K170" s="404" t="n"/>
      <c r="L170" s="418" t="n"/>
      <c r="M170" s="295" t="n"/>
    </row>
    <row r="171" ht="15.75" customHeight="1" s="279">
      <c r="A171" s="304" t="inlineStr">
        <is>
          <t>Case of Matryoshkas</t>
        </is>
      </c>
      <c r="B171" s="474">
        <f>HYPERLINK("http://codeforces.com/contest/556/problem/C","CF556-D2-C")</f>
        <v/>
      </c>
      <c r="C171" s="418" t="n"/>
      <c r="D171" s="418" t="n"/>
      <c r="E171" s="418" t="n"/>
      <c r="F171" s="418" t="n"/>
      <c r="G171" s="418" t="n"/>
      <c r="H171" s="418" t="n"/>
      <c r="I171" s="404">
        <f>SUM(E171:H171)</f>
        <v/>
      </c>
      <c r="J171" s="404" t="n"/>
      <c r="K171" s="404" t="n"/>
      <c r="L171" s="418" t="n"/>
      <c r="M171" s="295" t="n"/>
    </row>
    <row r="172" ht="15.75" customHeight="1" s="279">
      <c r="A172" s="304" t="inlineStr">
        <is>
          <t>Vanya and Label</t>
        </is>
      </c>
      <c r="B172" s="474">
        <f>HYPERLINK("http://codeforces.com/contest/677/problem/C","CF677-D2-C")</f>
        <v/>
      </c>
      <c r="C172" s="418" t="n"/>
      <c r="D172" s="418" t="n"/>
      <c r="E172" s="418" t="n"/>
      <c r="F172" s="418" t="n"/>
      <c r="G172" s="418" t="n"/>
      <c r="H172" s="418" t="n"/>
      <c r="I172" s="404">
        <f>SUM(E172:H172)</f>
        <v/>
      </c>
      <c r="J172" s="404" t="n"/>
      <c r="K172" s="404" t="n"/>
      <c r="L172" s="418" t="n"/>
      <c r="M172" s="295" t="n"/>
    </row>
    <row r="173" ht="15.75" customHeight="1" s="279">
      <c r="A173" s="304" t="inlineStr">
        <is>
          <t>Exams</t>
        </is>
      </c>
      <c r="B173" s="474">
        <f>HYPERLINK("http://codeforces.com/contest/479/problem/C","CF479-D2-C")</f>
        <v/>
      </c>
      <c r="C173" s="418" t="n"/>
      <c r="D173" s="418" t="n"/>
      <c r="E173" s="418" t="n"/>
      <c r="F173" s="418" t="n"/>
      <c r="G173" s="418" t="n"/>
      <c r="H173" s="418" t="n"/>
      <c r="I173" s="404">
        <f>SUM(E173:H173)</f>
        <v/>
      </c>
      <c r="J173" s="404" t="n"/>
      <c r="K173" s="404" t="n"/>
      <c r="L173" s="418" t="n"/>
      <c r="M173" s="295" t="n"/>
    </row>
    <row r="174" ht="15.75" customHeight="1" s="279">
      <c r="A174" s="295" t="inlineStr">
        <is>
          <t>Boredom</t>
        </is>
      </c>
      <c r="B174" s="417">
        <f>HYPERLINK("http://codeforces.com/contest/456/problem/C","CF456-D2-C")</f>
        <v/>
      </c>
      <c r="C174" s="295" t="n"/>
      <c r="D174" s="295" t="n"/>
      <c r="E174" s="295" t="n"/>
      <c r="F174" s="295" t="n"/>
      <c r="G174" s="295" t="n"/>
      <c r="H174" s="295" t="n"/>
      <c r="I174" s="418">
        <f>SUM(E174:H174)</f>
        <v/>
      </c>
      <c r="J174" s="295" t="n"/>
      <c r="K174" s="295" t="n"/>
      <c r="L174" s="295" t="n"/>
      <c r="M174" s="295" t="n"/>
    </row>
    <row r="175" ht="15.75" customHeight="1" s="279">
      <c r="A175" s="295" t="inlineStr">
        <is>
          <t>Learning Languages</t>
        </is>
      </c>
      <c r="B175" s="417">
        <f>HYPERLINK("http://codeforces.com/contest/278/problem/C","CF278-D2-C")</f>
        <v/>
      </c>
      <c r="C175" s="295" t="n"/>
      <c r="D175" s="295" t="n"/>
      <c r="E175" s="295" t="n"/>
      <c r="F175" s="295" t="n"/>
      <c r="G175" s="295" t="n"/>
      <c r="H175" s="295" t="n"/>
      <c r="I175" s="418">
        <f>SUM(E175:H175)</f>
        <v/>
      </c>
      <c r="J175" s="295" t="n"/>
      <c r="K175" s="295" t="n"/>
      <c r="L175" s="295" t="n"/>
      <c r="M175" s="295" t="n"/>
    </row>
    <row r="176" ht="15.75" customHeight="1" s="279">
      <c r="A176" s="295" t="inlineStr">
        <is>
          <t>Beautiful Sets of Points</t>
        </is>
      </c>
      <c r="B176" s="417">
        <f>HYPERLINK("http://codeforces.com/contest/268/problem/C","CF268-D2-C")</f>
        <v/>
      </c>
      <c r="C176" s="295" t="n"/>
      <c r="D176" s="295" t="n"/>
      <c r="E176" s="295" t="n"/>
      <c r="F176" s="295" t="n"/>
      <c r="G176" s="295" t="n"/>
      <c r="H176" s="295" t="n"/>
      <c r="I176" s="418">
        <f>SUM(E176:H176)</f>
        <v/>
      </c>
      <c r="J176" s="295" t="n"/>
      <c r="K176" s="295" t="n"/>
      <c r="L176" s="295" t="n"/>
      <c r="M176" s="295" t="n"/>
    </row>
    <row r="177" ht="15.75" customHeight="1" s="279">
      <c r="A177" s="304" t="n"/>
      <c r="B177" s="304" t="n"/>
      <c r="C177" s="418" t="n"/>
      <c r="D177" s="418" t="n"/>
      <c r="E177" s="418" t="n"/>
      <c r="F177" s="418" t="n"/>
      <c r="G177" s="418" t="n"/>
      <c r="H177" s="418" t="n"/>
      <c r="I177" s="404">
        <f>SUM(E177:H177)</f>
        <v/>
      </c>
      <c r="J177" s="404" t="n"/>
      <c r="K177" s="404" t="n"/>
      <c r="L177" s="418" t="n"/>
      <c r="M177" s="295" t="n"/>
    </row>
    <row r="178" ht="15.75" customHeight="1" s="279">
      <c r="A178" s="295" t="inlineStr">
        <is>
          <t>Strategic Defense Initiative</t>
        </is>
      </c>
      <c r="B178" s="419">
        <f>HYPERLINK("https://uva.onlinejudge.org/index.php?option=com_onlinejudge&amp;Itemid=8&amp;page=show_problem&amp;problem=438","UVA 497")</f>
        <v/>
      </c>
      <c r="C178" s="295" t="n"/>
      <c r="D178" s="295" t="n"/>
      <c r="E178" s="295" t="n"/>
      <c r="F178" s="295" t="n"/>
      <c r="G178" s="295" t="n"/>
      <c r="H178" s="295" t="n"/>
      <c r="I178" s="418">
        <f>SUM(E178:H178)</f>
        <v/>
      </c>
      <c r="J178" s="295" t="n"/>
      <c r="K178" s="295" t="n"/>
      <c r="L178" s="295" t="n"/>
      <c r="M178" s="468" t="inlineStr">
        <is>
          <t>Explained in the tutorial videos</t>
        </is>
      </c>
    </row>
    <row r="179" ht="15.75" customHeight="1" s="279">
      <c r="A179" s="295" t="inlineStr">
        <is>
          <t>String to Palindrome</t>
        </is>
      </c>
      <c r="B179" s="419">
        <f>HYPERLINK("https://uva.onlinejudge.org/index.php?option=com_onlinejudge&amp;Itemid=8&amp;page=show_problem&amp;problem=1680","UVA 10739")</f>
        <v/>
      </c>
      <c r="C179" s="418" t="n"/>
      <c r="D179" s="418" t="n"/>
      <c r="E179" s="418" t="n"/>
      <c r="F179" s="418" t="n"/>
      <c r="G179" s="418" t="n"/>
      <c r="H179" s="418" t="n"/>
      <c r="I179" s="404">
        <f>SUM(E179:H179)</f>
        <v/>
      </c>
      <c r="J179" s="404" t="n"/>
      <c r="K179" s="404" t="n"/>
      <c r="L179" s="418" t="n"/>
      <c r="M179" s="295" t="inlineStr">
        <is>
          <t>Explained in the tutorial videos</t>
        </is>
      </c>
    </row>
    <row r="180" ht="15.75" customHeight="1" s="279">
      <c r="A180" s="295" t="inlineStr">
        <is>
          <t>Trouble of 13-Dots</t>
        </is>
      </c>
      <c r="B180" s="419">
        <f>HYPERLINK("https://uva.onlinejudge.org/index.php?option=onlinejudge&amp;page=show_problem&amp;problem=1760","UVA 10819")</f>
        <v/>
      </c>
      <c r="C180" s="295" t="n"/>
      <c r="D180" s="295" t="n"/>
      <c r="E180" s="295" t="n"/>
      <c r="F180" s="295" t="n"/>
      <c r="G180" s="295" t="n"/>
      <c r="H180" s="295" t="n"/>
      <c r="I180" s="418">
        <f>SUM(E180:H180)</f>
        <v/>
      </c>
      <c r="J180" s="295" t="n"/>
      <c r="K180" s="295" t="n"/>
      <c r="L180" s="295" t="n"/>
      <c r="M180" s="295" t="n"/>
    </row>
    <row r="181" ht="15.75" customHeight="1" s="279">
      <c r="A181" s="295" t="inlineStr">
        <is>
          <t>Sagheer and Nubian Market</t>
        </is>
      </c>
      <c r="B181" s="417">
        <f>HYPERLINK("http://codeforces.com/contest/812/problem/C","CF812-D2-C")</f>
        <v/>
      </c>
      <c r="C181" s="295" t="n"/>
      <c r="D181" s="295" t="n"/>
      <c r="E181" s="295" t="n"/>
      <c r="F181" s="295" t="n"/>
      <c r="G181" s="295" t="n"/>
      <c r="H181" s="295" t="n"/>
      <c r="I181" s="418">
        <f>SUM(E181:H181)</f>
        <v/>
      </c>
      <c r="J181" s="295" t="n"/>
      <c r="K181" s="295" t="n"/>
      <c r="L181" s="295" t="n"/>
      <c r="M181" s="417">
        <f>HYPERLINK("https://www.youtube.com/watch?v=SDEpB87Uxpg","Video Solution - Solver to be (Java)")</f>
        <v/>
      </c>
    </row>
    <row r="182" ht="15.75" customHeight="1" s="279">
      <c r="A182" s="304" t="inlineStr">
        <is>
          <t>Purification</t>
        </is>
      </c>
      <c r="B182" s="474">
        <f>HYPERLINK("http://codeforces.com/contest/330/problem/C","CF330-D2-C")</f>
        <v/>
      </c>
      <c r="C182" s="418" t="n"/>
      <c r="D182" s="418" t="n"/>
      <c r="E182" s="418" t="n"/>
      <c r="F182" s="418" t="n"/>
      <c r="G182" s="418" t="n"/>
      <c r="H182" s="418" t="n"/>
      <c r="I182" s="404">
        <f>SUM(E182:H182)</f>
        <v/>
      </c>
      <c r="J182" s="404" t="n"/>
      <c r="K182" s="404" t="n"/>
      <c r="L182" s="418" t="n"/>
      <c r="M182" s="295" t="n"/>
    </row>
    <row r="183" ht="15.75" customHeight="1" s="279">
      <c r="A183" s="304" t="inlineStr">
        <is>
          <t>Division into Teams</t>
        </is>
      </c>
      <c r="B183" s="474">
        <f>HYPERLINK("http://codeforces.com/contest/149/problem/C","CF149-D2-C")</f>
        <v/>
      </c>
      <c r="C183" s="418" t="n"/>
      <c r="D183" s="418" t="n"/>
      <c r="E183" s="418" t="n"/>
      <c r="F183" s="418" t="n"/>
      <c r="G183" s="418" t="n"/>
      <c r="H183" s="418" t="n"/>
      <c r="I183" s="404">
        <f>SUM(E183:H183)</f>
        <v/>
      </c>
      <c r="J183" s="404" t="n"/>
      <c r="K183" s="404" t="n"/>
      <c r="L183" s="418" t="n"/>
      <c r="M183" s="295" t="n"/>
    </row>
    <row r="184" ht="15.75" customHeight="1" s="279">
      <c r="A184" s="304" t="inlineStr">
        <is>
          <t>Disposition</t>
        </is>
      </c>
      <c r="B184" s="474">
        <f>HYPERLINK("http://codeforces.com/contest/49/problem/C","CF49-D2-C")</f>
        <v/>
      </c>
      <c r="C184" s="418" t="n"/>
      <c r="D184" s="418" t="n"/>
      <c r="E184" s="418" t="n"/>
      <c r="F184" s="418" t="n"/>
      <c r="G184" s="418" t="n"/>
      <c r="H184" s="418" t="n"/>
      <c r="I184" s="404">
        <f>SUM(E184:H184)</f>
        <v/>
      </c>
      <c r="J184" s="404" t="n"/>
      <c r="K184" s="404" t="n"/>
      <c r="L184" s="418" t="n"/>
      <c r="M184" s="295" t="n"/>
    </row>
    <row r="185" ht="15.75" customHeight="1" s="279">
      <c r="A185" s="304" t="inlineStr">
        <is>
          <t>Mashmokh and Numbers</t>
        </is>
      </c>
      <c r="B185" s="474">
        <f>HYPERLINK("http://codeforces.com/contest/415/problem/C","CF415-D2-C")</f>
        <v/>
      </c>
      <c r="C185" s="418" t="n"/>
      <c r="D185" s="418" t="n"/>
      <c r="E185" s="418" t="n"/>
      <c r="F185" s="418" t="n"/>
      <c r="G185" s="418" t="n"/>
      <c r="H185" s="418" t="n"/>
      <c r="I185" s="404">
        <f>SUM(E185:H185)</f>
        <v/>
      </c>
      <c r="J185" s="404" t="n"/>
      <c r="K185" s="404" t="n"/>
      <c r="L185" s="418" t="n"/>
      <c r="M185" s="295" t="n"/>
    </row>
    <row r="186" ht="15.75" customHeight="1" s="279">
      <c r="A186" s="304" t="inlineStr">
        <is>
          <t>Statues</t>
        </is>
      </c>
      <c r="B186" s="474">
        <f>HYPERLINK("http://codeforces.com/contest/129/problem/C","CF129-D2-C")</f>
        <v/>
      </c>
      <c r="C186" s="418" t="n"/>
      <c r="D186" s="418" t="n"/>
      <c r="E186" s="418" t="n"/>
      <c r="F186" s="418" t="n"/>
      <c r="G186" s="418" t="n"/>
      <c r="H186" s="418" t="n"/>
      <c r="I186" s="404">
        <f>SUM(E186:H186)</f>
        <v/>
      </c>
      <c r="J186" s="404" t="n"/>
      <c r="K186" s="404" t="n"/>
      <c r="L186" s="418" t="n"/>
      <c r="M186" s="295" t="n"/>
    </row>
    <row r="187" ht="15.75" customHeight="1" s="279">
      <c r="A187" s="304" t="inlineStr">
        <is>
          <t>Inna and Huge Candy Matrix</t>
        </is>
      </c>
      <c r="B187" s="474">
        <f>HYPERLINK("http://codeforces.com/contest/400/problem/C","CF400-D2-C")</f>
        <v/>
      </c>
      <c r="C187" s="418" t="n"/>
      <c r="D187" s="418" t="n"/>
      <c r="E187" s="418" t="n"/>
      <c r="F187" s="418" t="n"/>
      <c r="G187" s="418" t="n"/>
      <c r="H187" s="418" t="n"/>
      <c r="I187" s="404">
        <f>SUM(E187:H187)</f>
        <v/>
      </c>
      <c r="J187" s="404" t="n"/>
      <c r="K187" s="404" t="n"/>
      <c r="L187" s="418" t="n"/>
      <c r="M187" s="295" t="n"/>
    </row>
    <row r="188" ht="15.75" customHeight="1" s="279">
      <c r="A188" s="304" t="inlineStr">
        <is>
          <t>Anagram Search</t>
        </is>
      </c>
      <c r="B188" s="474">
        <f>HYPERLINK("http://codeforces.com/contest/144/problem/C","CF144-D2-C")</f>
        <v/>
      </c>
      <c r="C188" s="418" t="n"/>
      <c r="D188" s="418" t="n"/>
      <c r="E188" s="418" t="n"/>
      <c r="F188" s="418" t="n"/>
      <c r="G188" s="418" t="n"/>
      <c r="H188" s="418" t="n"/>
      <c r="I188" s="404">
        <f>SUM(E188:H188)</f>
        <v/>
      </c>
      <c r="J188" s="404" t="n"/>
      <c r="K188" s="404" t="n"/>
      <c r="L188" s="418" t="n"/>
      <c r="M188" s="295" t="n"/>
    </row>
    <row r="189" ht="15.75" customHeight="1" s="279">
      <c r="A189" s="304" t="inlineStr">
        <is>
          <t>Ilya and Sticks</t>
        </is>
      </c>
      <c r="B189" s="474">
        <f>HYPERLINK("http://codeforces.com/contest/525/problem/C","CF525-D2-C")</f>
        <v/>
      </c>
      <c r="C189" s="418" t="n"/>
      <c r="D189" s="418" t="n"/>
      <c r="E189" s="418" t="n"/>
      <c r="F189" s="418" t="n"/>
      <c r="G189" s="418" t="n"/>
      <c r="H189" s="418" t="n"/>
      <c r="I189" s="404">
        <f>SUM(E189:H189)</f>
        <v/>
      </c>
      <c r="J189" s="404" t="n"/>
      <c r="K189" s="404" t="n"/>
      <c r="L189" s="418" t="n"/>
      <c r="M189" s="295" t="n"/>
    </row>
    <row r="190" ht="15.75" customHeight="1" s="279">
      <c r="A190" s="304" t="inlineStr">
        <is>
          <t>Day at the Beach</t>
        </is>
      </c>
      <c r="B190" s="474">
        <f>HYPERLINK("http://codeforces.com/contest/599/problem/C","CF599-D2-C")</f>
        <v/>
      </c>
      <c r="C190" s="418" t="n"/>
      <c r="D190" s="418" t="n"/>
      <c r="E190" s="418" t="n"/>
      <c r="F190" s="418" t="n"/>
      <c r="G190" s="418" t="n"/>
      <c r="H190" s="418" t="n"/>
      <c r="I190" s="404">
        <f>SUM(E190:H190)</f>
        <v/>
      </c>
      <c r="J190" s="404" t="n"/>
      <c r="K190" s="404" t="n"/>
      <c r="L190" s="418" t="n"/>
      <c r="M190" s="295" t="n"/>
    </row>
    <row r="191" ht="15.75" customHeight="1" s="279">
      <c r="A191" s="304" t="n"/>
      <c r="B191" s="304" t="n"/>
      <c r="C191" s="418" t="n"/>
      <c r="D191" s="418" t="n"/>
      <c r="E191" s="418" t="n"/>
      <c r="F191" s="418" t="n"/>
      <c r="G191" s="418" t="n"/>
      <c r="H191" s="418" t="n"/>
      <c r="I191" s="404">
        <f>SUM(E191:H191)</f>
        <v/>
      </c>
      <c r="J191" s="404" t="n"/>
      <c r="K191" s="404" t="n"/>
      <c r="L191" s="418" t="n"/>
      <c r="M191" s="295" t="n"/>
    </row>
    <row r="192" ht="15.75" customHeight="1" s="279">
      <c r="A192" s="295" t="inlineStr">
        <is>
          <t>Appleman and Toastman</t>
        </is>
      </c>
      <c r="B192" s="417">
        <f>HYPERLINK("http://codeforces.com/contest/462/problem/C","CF462-D2-C")</f>
        <v/>
      </c>
      <c r="C192" s="295" t="n"/>
      <c r="D192" s="295" t="n"/>
      <c r="E192" s="295" t="n"/>
      <c r="F192" s="295" t="n"/>
      <c r="G192" s="295" t="n"/>
      <c r="H192" s="295" t="n"/>
      <c r="I192" s="418">
        <f>SUM(E192:H192)</f>
        <v/>
      </c>
      <c r="J192" s="295" t="n"/>
      <c r="K192" s="295" t="n"/>
      <c r="L192" s="295" t="n"/>
      <c r="M192" s="417">
        <f>HYPERLINK("https://github.com/MedoN11/CompetitiveProgramming/blob/master/Atcoder/CF_462C.java","Sol")</f>
        <v/>
      </c>
    </row>
    <row r="193" ht="15.75" customHeight="1" s="279">
      <c r="A193" s="295" t="inlineStr">
        <is>
          <t>Anya and Smartphone</t>
        </is>
      </c>
      <c r="B193" s="417">
        <f>HYPERLINK("http://codeforces.com/contest/518/problem/C","CF518-D2-C")</f>
        <v/>
      </c>
      <c r="C193" s="295" t="n"/>
      <c r="D193" s="295" t="n"/>
      <c r="E193" s="295" t="n"/>
      <c r="F193" s="295" t="n"/>
      <c r="G193" s="295" t="n"/>
      <c r="H193" s="295" t="n"/>
      <c r="I193" s="418">
        <f>SUM(E193:H193)</f>
        <v/>
      </c>
      <c r="J193" s="295" t="n"/>
      <c r="K193" s="295" t="n"/>
      <c r="L193" s="295" t="n"/>
      <c r="M193" s="295" t="n"/>
    </row>
    <row r="194" ht="15.75" customHeight="1" s="279">
      <c r="A194" s="295" t="inlineStr">
        <is>
          <t>Little Girl and Maximum Sum</t>
        </is>
      </c>
      <c r="B194" s="417">
        <f>HYPERLINK("http://codeforces.com/contest/276/problem/C","CF276-D2-C")</f>
        <v/>
      </c>
      <c r="C194" s="295" t="n"/>
      <c r="D194" s="295" t="n"/>
      <c r="E194" s="295" t="n"/>
      <c r="F194" s="295" t="n"/>
      <c r="G194" s="295" t="n"/>
      <c r="H194" s="295" t="n"/>
      <c r="I194" s="418">
        <f>SUM(E194:H194)</f>
        <v/>
      </c>
      <c r="J194" s="295" t="n"/>
      <c r="K194" s="295" t="n"/>
      <c r="L194" s="295" t="n"/>
      <c r="M194" s="295" t="n"/>
    </row>
    <row r="195" ht="15.75" customHeight="1" s="279">
      <c r="A195" s="295" t="inlineStr">
        <is>
          <t>Sereja and Algorithm</t>
        </is>
      </c>
      <c r="B195" s="417">
        <f>HYPERLINK("http://codeforces.com/contest/368/problem/C","CF368-D2-C")</f>
        <v/>
      </c>
      <c r="C195" s="295" t="n"/>
      <c r="D195" s="295" t="n"/>
      <c r="E195" s="295" t="n"/>
      <c r="F195" s="295" t="n"/>
      <c r="G195" s="295" t="n"/>
      <c r="H195" s="295" t="n"/>
      <c r="I195" s="418">
        <f>SUM(E195:H195)</f>
        <v/>
      </c>
      <c r="J195" s="295" t="n"/>
      <c r="K195" s="295" t="n"/>
      <c r="L195" s="295" t="n"/>
      <c r="M195" s="295" t="n"/>
    </row>
    <row r="196" ht="15.75" customHeight="1" s="279">
      <c r="A196" s="304" t="inlineStr">
        <is>
          <t>The Child and Toy</t>
        </is>
      </c>
      <c r="B196" s="474">
        <f>HYPERLINK("http://codeforces.com/contest/437/problem/C","CF437-D2-C")</f>
        <v/>
      </c>
      <c r="C196" s="418" t="n"/>
      <c r="D196" s="418" t="n"/>
      <c r="E196" s="418" t="n"/>
      <c r="F196" s="418" t="n"/>
      <c r="G196" s="418" t="n"/>
      <c r="H196" s="418" t="n"/>
      <c r="I196" s="404">
        <f>SUM(E196:H196)</f>
        <v/>
      </c>
      <c r="J196" s="404" t="n"/>
      <c r="K196" s="404" t="n"/>
      <c r="L196" s="418" t="n"/>
      <c r="M196" s="295" t="n"/>
    </row>
    <row r="197" ht="15.75" customHeight="1" s="279">
      <c r="A197" s="304" t="inlineStr">
        <is>
          <t>Perfect Pair</t>
        </is>
      </c>
      <c r="B197" s="474">
        <f>HYPERLINK("http://codeforces.com/contest/318/problem/C","CF318-D2-C")</f>
        <v/>
      </c>
      <c r="C197" s="418" t="n"/>
      <c r="D197" s="418" t="n"/>
      <c r="E197" s="418" t="n"/>
      <c r="F197" s="418" t="n"/>
      <c r="G197" s="418" t="n"/>
      <c r="H197" s="418" t="n"/>
      <c r="I197" s="404">
        <f>SUM(E197:H197)</f>
        <v/>
      </c>
      <c r="J197" s="404" t="n"/>
      <c r="K197" s="404" t="n"/>
      <c r="L197" s="418" t="n"/>
      <c r="M197" s="295" t="n"/>
    </row>
    <row r="198" ht="15.75" customHeight="1" s="279">
      <c r="A198" s="304" t="inlineStr">
        <is>
          <t>Another Problem on Strings</t>
        </is>
      </c>
      <c r="B198" s="474">
        <f>HYPERLINK("http://codeforces.com/contest/165/problem/C","CF165-D2-C")</f>
        <v/>
      </c>
      <c r="C198" s="418" t="n"/>
      <c r="D198" s="418" t="n"/>
      <c r="E198" s="418" t="n"/>
      <c r="F198" s="418" t="n"/>
      <c r="G198" s="418" t="n"/>
      <c r="H198" s="418" t="n"/>
      <c r="I198" s="404">
        <f>SUM(E198:H198)</f>
        <v/>
      </c>
      <c r="J198" s="404" t="n"/>
      <c r="K198" s="404" t="n"/>
      <c r="L198" s="418" t="n"/>
      <c r="M198" s="295" t="n"/>
    </row>
    <row r="199" ht="15.75" customHeight="1" s="279">
      <c r="A199" s="304" t="inlineStr">
        <is>
          <t>Socks</t>
        </is>
      </c>
      <c r="B199" s="474">
        <f>HYPERLINK("http://codeforces.com/contest/731/problem/C","CF731-D2-C")</f>
        <v/>
      </c>
      <c r="C199" s="418" t="n"/>
      <c r="D199" s="418" t="n"/>
      <c r="E199" s="418" t="n"/>
      <c r="F199" s="418" t="n"/>
      <c r="G199" s="418" t="n"/>
      <c r="H199" s="418" t="n"/>
      <c r="I199" s="404">
        <f>SUM(E199:H199)</f>
        <v/>
      </c>
      <c r="J199" s="404" t="n"/>
      <c r="K199" s="404" t="n"/>
      <c r="L199" s="418" t="n"/>
      <c r="M199" s="295" t="n"/>
    </row>
    <row r="200" ht="15.75" customHeight="1" s="279">
      <c r="A200" s="304" t="inlineStr">
        <is>
          <t>Valera and Elections</t>
        </is>
      </c>
      <c r="B200" s="474">
        <f>HYPERLINK("http://codeforces.com/contest/369/problem/C","CF369-D2-C")</f>
        <v/>
      </c>
      <c r="C200" s="418" t="n"/>
      <c r="D200" s="418" t="n"/>
      <c r="E200" s="418" t="n"/>
      <c r="F200" s="418" t="n"/>
      <c r="G200" s="418" t="n"/>
      <c r="H200" s="418" t="n"/>
      <c r="I200" s="404">
        <f>SUM(E200:H200)</f>
        <v/>
      </c>
      <c r="J200" s="404" t="n"/>
      <c r="K200" s="404" t="n"/>
      <c r="L200" s="418" t="n"/>
      <c r="M200" s="295" t="n"/>
    </row>
  </sheetData>
  <mergeCells count="2">
    <mergeCell ref="J150:M150"/>
    <mergeCell ref="D150:G150"/>
  </mergeCells>
  <conditionalFormatting sqref="K3:K148 K152:K200">
    <cfRule type="cellIs" rank="0" priority="2" equalAverage="0" operator="equal" aboveAverage="0" dxfId="5" text="" percent="0" bottom="0">
      <formula>"No"</formula>
    </cfRule>
    <cfRule type="cellIs" rank="0" priority="3" equalAverage="0" operator="equal" aboveAverage="0" dxfId="5" text="" percent="0" bottom="0">
      <formula>"no"</formula>
    </cfRule>
    <cfRule type="cellIs" rank="0" priority="4" equalAverage="0" operator="equal" aboveAverage="0" dxfId="5" text="" percent="0" bottom="0">
      <formula>"NO"</formula>
    </cfRule>
  </conditionalFormatting>
  <conditionalFormatting sqref="C3:C210">
    <cfRule type="cellIs" rank="0" priority="5" equalAverage="0" operator="equal" aboveAverage="0" dxfId="0" text="" percent="0" bottom="0">
      <formula>"AC"</formula>
    </cfRule>
    <cfRule type="containsText" rank="0" priority="6" equalAverage="0" operator="containsText" aboveAverage="0" dxfId="1" text="WA" percent="0" bottom="0">
      <formula>NOT(ISERROR(SEARCH("WA",C3)))</formula>
    </cfRule>
    <cfRule type="containsText" rank="0" priority="7" equalAverage="0" operator="containsText" aboveAverage="0" dxfId="2" text="TLE" percent="0" bottom="0">
      <formula>NOT(ISERROR(SEARCH("TLE",C3)))</formula>
    </cfRule>
    <cfRule type="containsText" rank="0" priority="8" equalAverage="0" operator="containsText" aboveAverage="0" dxfId="3" text="RTE" percent="0" bottom="0">
      <formula>NOT(ISERROR(SEARCH("RTE",C3)))</formula>
    </cfRule>
    <cfRule type="containsText" rank="0" priority="9" equalAverage="0" operator="containsText" aboveAverage="0" dxfId="4" text="CS" percent="0" bottom="0">
      <formula>NOT(ISERROR(SEARCH("CS",C3)))</formula>
    </cfRule>
  </conditionalFormatting>
  <conditionalFormatting sqref="C3:C148 C152:C200">
    <cfRule type="containsText" rank="0" priority="10" equalAverage="0" operator="containsText" aboveAverage="0" dxfId="1" text="WA" percent="0" bottom="0">
      <formula>NOT(ISERROR(SEARCH("WA",C3)))</formula>
    </cfRule>
    <cfRule type="containsText" rank="0" priority="11" equalAverage="0" operator="containsText" aboveAverage="0" dxfId="2" text="TLE" percent="0" bottom="0">
      <formula>NOT(ISERROR(SEARCH("TLE",C3)))</formula>
    </cfRule>
    <cfRule type="containsText" rank="0" priority="12" equalAverage="0" operator="containsText" aboveAverage="0" dxfId="3" text="RTE" percent="0" bottom="0">
      <formula>NOT(ISERROR(SEARCH("RTE",C3)))</formula>
    </cfRule>
    <cfRule type="containsText" rank="0" priority="13" equalAverage="0" operator="containsText" aboveAverage="0" dxfId="4" text="CS" percent="0" bottom="0">
      <formula>NOT(ISERROR(SEARCH("CS",C3)))</formula>
    </cfRule>
  </conditionalFormatting>
  <hyperlinks>
    <hyperlink xmlns:r="http://schemas.openxmlformats.org/officeDocument/2006/relationships" ref="M13" display="it took abit long even though it is kinda obvious" r:id="rId1"/>
    <hyperlink xmlns:r="http://schemas.openxmlformats.org/officeDocument/2006/relationships" ref="M16" display="idk anymore" r:id="rId2"/>
    <hyperlink xmlns:r="http://schemas.openxmlformats.org/officeDocument/2006/relationships" ref="B22" display="UVA 10843" r:id="rId3"/>
    <hyperlink xmlns:r="http://schemas.openxmlformats.org/officeDocument/2006/relationships" ref="M75" display="Sol" r:id="rId4"/>
    <hyperlink xmlns:r="http://schemas.openxmlformats.org/officeDocument/2006/relationships" ref="M76" display="Sol" r:id="rId5"/>
    <hyperlink xmlns:r="http://schemas.openxmlformats.org/officeDocument/2006/relationships" ref="B94" display="ZOJ 1200" r:id="rId6"/>
    <hyperlink xmlns:r="http://schemas.openxmlformats.org/officeDocument/2006/relationships" ref="M94" display="Sol" r:id="rId7"/>
    <hyperlink xmlns:r="http://schemas.openxmlformats.org/officeDocument/2006/relationships" ref="M113" display="Sol" r:id="rId8"/>
    <hyperlink xmlns:r="http://schemas.openxmlformats.org/officeDocument/2006/relationships" ref="M115" display="Sol" r:id="rId9"/>
    <hyperlink xmlns:r="http://schemas.openxmlformats.org/officeDocument/2006/relationships" ref="M126" display="Video Solution - Eng Mohamed Khaled" r:id="rId10"/>
    <hyperlink xmlns:r="http://schemas.openxmlformats.org/officeDocument/2006/relationships" ref="M129" display="Sol" r:id="rId11"/>
    <hyperlink xmlns:r="http://schemas.openxmlformats.org/officeDocument/2006/relationships" ref="B143" display="UVA 11573" r:id="rId12"/>
  </hyperlinks>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M201"/>
  <sheetViews>
    <sheetView showFormulas="0" showGridLines="1" showRowColHeaders="1" showZeros="1" rightToLeft="0" tabSelected="0"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baseColWidth="8" defaultColWidth="15.12890625" defaultRowHeight="15.75" zeroHeight="0" outlineLevelRow="0"/>
  <cols>
    <col width="6" customWidth="1" style="278" min="3" max="3"/>
    <col width="6.38" customWidth="1" style="278" min="4" max="4"/>
    <col width="7.38" customWidth="1" style="278" min="5" max="5"/>
    <col width="7.63" customWidth="1" style="278" min="6" max="6"/>
    <col width="8.75" customWidth="1" style="278" min="7" max="7"/>
    <col width="7.5" customWidth="1" style="278" min="8" max="9"/>
    <col width="8.75" customWidth="1" style="278" min="10" max="12"/>
    <col width="67" customWidth="1" style="278" min="13" max="13"/>
  </cols>
  <sheetData>
    <row r="1" ht="45.75" customHeight="1" s="279">
      <c r="A1" s="456" t="inlineStr">
        <is>
          <t>Problem Name</t>
        </is>
      </c>
      <c r="B1" s="456" t="inlineStr">
        <is>
          <t>Problem Code</t>
        </is>
      </c>
      <c r="C1" s="401" t="inlineStr">
        <is>
          <t>Status</t>
        </is>
      </c>
      <c r="D1" s="401" t="inlineStr">
        <is>
          <t>Submit Count</t>
        </is>
      </c>
      <c r="E1" s="401" t="inlineStr">
        <is>
          <t>Reading Time(m)</t>
        </is>
      </c>
      <c r="F1" s="401" t="inlineStr">
        <is>
          <t>Thinking Time(m)</t>
        </is>
      </c>
      <c r="G1" s="401" t="inlineStr">
        <is>
          <t>Coding Time(m)</t>
        </is>
      </c>
      <c r="H1" s="401" t="inlineStr">
        <is>
          <t>Debug Time(m)</t>
        </is>
      </c>
      <c r="I1" s="401" t="inlineStr">
        <is>
          <t>Total Time(m)</t>
        </is>
      </c>
      <c r="J1" s="401" t="inlineStr">
        <is>
          <t>Problem Level /10</t>
        </is>
      </c>
      <c r="K1" s="401" t="inlineStr">
        <is>
          <t>By yourself?</t>
        </is>
      </c>
      <c r="L1" s="401" t="inlineStr">
        <is>
          <t>Category</t>
        </is>
      </c>
      <c r="M1" s="402" t="inlineStr">
        <is>
          <t>1-2 line Comments
About your approach</t>
        </is>
      </c>
    </row>
    <row r="2" ht="15.75" customHeight="1" s="279">
      <c r="A2" s="457" t="n"/>
      <c r="B2" s="295" t="inlineStr">
        <is>
          <t>AC Averages =&gt;</t>
        </is>
      </c>
      <c r="C2" s="405">
        <f>COUNTIF(C3:C10507, "AC")</f>
        <v/>
      </c>
      <c r="D2" s="405">
        <f>ROUND(SUMPRODUCT(D3:D10507,INT(eq(C3:C10507, "AC")))/MAX(1, C2),1)</f>
        <v/>
      </c>
      <c r="E2" s="405">
        <f>ROUND(SUMPRODUCT(E3:E10529,INT(eq(C3:C10529, "AC")))/MAX(1, C2),0)</f>
        <v/>
      </c>
      <c r="F2" s="405">
        <f>ROUND(SUMPRODUCT(F3:F10532,INT(eq(C3:C10532, "AC")))/MAX(1, C2),0)</f>
        <v/>
      </c>
      <c r="G2" s="405">
        <f>ROUND(SUMPRODUCT(G3:G10532,INT(eq(C3:C10532, "AC")))/MAX(1, C2),0)</f>
        <v/>
      </c>
      <c r="H2" s="405">
        <f>ROUND(SUMPRODUCT(H3:H10532,INT(eq(C3:C10532, "AC")))/MAX(1, C2),0)</f>
        <v/>
      </c>
      <c r="I2" s="405">
        <f>ROUND(SUMPRODUCT(I3:I10504,INT(eq(C3:C10504, "AC")))/MAX(1, C2),0)</f>
        <v/>
      </c>
      <c r="J2" s="405">
        <f>ROUND(SUMPRODUCT(J3:J10502,INT(eq(C3:C10502, "AC")))/MAX(1, C2),1)</f>
        <v/>
      </c>
      <c r="K2" s="405">
        <f>SUMPRODUCT(eq(K3:K10507, "YES"),INT(eq(C3:C10532, "AC")))</f>
        <v/>
      </c>
      <c r="L2" s="405">
        <f>IFERROR(__xludf.dummyfunction("COUNTA(FILTER(C3:C9999, NOT(REGEXMATCH(C3:C9999, ""AC""))))"),0)</f>
        <v/>
      </c>
      <c r="M2" s="406">
        <f>IFERROR(__xludf.dummyfunction("COUNTA(FILTER(C3:C9993, NOT(REGEXMATCH(C3:C9993, ""AC""))))"),0)</f>
        <v/>
      </c>
    </row>
    <row r="3" ht="15.75" customHeight="1" s="279">
      <c r="A3" s="295" t="n"/>
      <c r="B3" s="295" t="n"/>
      <c r="C3" s="418" t="n"/>
      <c r="D3" s="418" t="n"/>
      <c r="E3" s="418" t="n"/>
      <c r="F3" s="418" t="n"/>
      <c r="G3" s="418" t="n"/>
      <c r="H3" s="418" t="n"/>
      <c r="I3" s="404">
        <f>SUM(E3:H3)</f>
        <v/>
      </c>
      <c r="J3" s="404" t="n"/>
      <c r="K3" s="404" t="n"/>
      <c r="L3" s="418" t="n"/>
      <c r="M3" s="458">
        <f>HYPERLINK("https://www.youtube.com/watch?v=YUIwEX8UEN0","Watch - Thinking - Search Space and Output Analysis")</f>
        <v/>
      </c>
    </row>
    <row r="4" ht="15.75" customHeight="1" s="279">
      <c r="A4" s="295" t="n"/>
      <c r="B4" s="295" t="n"/>
      <c r="C4" s="418" t="n"/>
      <c r="D4" s="418" t="n"/>
      <c r="E4" s="418" t="n"/>
      <c r="F4" s="418" t="n"/>
      <c r="G4" s="418" t="n"/>
      <c r="H4" s="418" t="n"/>
      <c r="I4" s="404">
        <f>SUM(E4:H4)</f>
        <v/>
      </c>
      <c r="J4" s="404" t="n"/>
      <c r="K4" s="404" t="n"/>
      <c r="L4" s="418" t="n"/>
      <c r="M4" s="458">
        <f>HYPERLINK("https://www.youtube.com/watch?v=TP8QXP6PBqM","Watch - Thinking - Observations Discovery ")</f>
        <v/>
      </c>
    </row>
    <row r="5" ht="15.75" customHeight="1" s="279">
      <c r="A5" s="295" t="n"/>
      <c r="B5" s="295" t="n"/>
      <c r="C5" s="418" t="n"/>
      <c r="D5" s="418" t="n"/>
      <c r="E5" s="418" t="n"/>
      <c r="F5" s="418" t="n"/>
      <c r="G5" s="418" t="n"/>
      <c r="H5" s="418" t="n"/>
      <c r="I5" s="404">
        <f>SUM(E5:H5)</f>
        <v/>
      </c>
      <c r="J5" s="404" t="n"/>
      <c r="K5" s="404" t="n"/>
      <c r="L5" s="418" t="n"/>
      <c r="M5" s="458">
        <f>HYPERLINK("https://www.youtube.com/watch?v=rdUs4FGkgRo","Watch - Game Theory - Intro")</f>
        <v/>
      </c>
    </row>
    <row r="6" ht="15.75" customHeight="1" s="279">
      <c r="A6" s="432" t="inlineStr">
        <is>
          <t>Win or Freeze</t>
        </is>
      </c>
      <c r="B6" s="462">
        <f>HYPERLINK("http://codeforces.com/contest/151/problem/C","CF151-D2-C")</f>
        <v/>
      </c>
      <c r="C6" s="418" t="n"/>
      <c r="D6" s="418" t="n"/>
      <c r="E6" s="418" t="n"/>
      <c r="F6" s="418" t="n"/>
      <c r="G6" s="418" t="n"/>
      <c r="H6" s="418" t="n"/>
      <c r="I6" s="404">
        <f>SUM(E6:H6)</f>
        <v/>
      </c>
      <c r="J6" s="404" t="n"/>
      <c r="K6" s="404" t="n"/>
      <c r="L6" s="418" t="n"/>
      <c r="M6" s="419">
        <f>HYPERLINK("https://www.youtube.com/watch?v=SY88_vndOgI","Video Solution - Dr Mostafa Saad")</f>
        <v/>
      </c>
    </row>
    <row r="7" ht="15.75" customHeight="1" s="279">
      <c r="A7" s="432" t="inlineStr">
        <is>
          <t>Euclid's Game</t>
        </is>
      </c>
      <c r="B7" s="462">
        <f>HYPERLINK("https://uva.onlinejudge.org/index.php?option=onlinejudge&amp;page=show_problem&amp;problem=1309","UVA 10368")</f>
        <v/>
      </c>
      <c r="C7" s="295" t="n"/>
      <c r="D7" s="295" t="n"/>
      <c r="E7" s="295" t="n"/>
      <c r="F7" s="295" t="n"/>
      <c r="G7" s="295" t="n"/>
      <c r="H7" s="295" t="n"/>
      <c r="I7" s="418">
        <f>SUM(E7:H7)</f>
        <v/>
      </c>
      <c r="J7" s="295" t="n"/>
      <c r="K7" s="295" t="n"/>
      <c r="L7" s="295" t="n"/>
      <c r="M7" s="417">
        <f>HYPERLINK("https://www.youtube.com/watch?v=86oGEiHeDO0","Video Solution - Eng Moaz Rashad")</f>
        <v/>
      </c>
    </row>
    <row r="8" ht="15.75" customHeight="1" s="279">
      <c r="A8" s="437" t="inlineStr">
        <is>
          <t>Pyramids</t>
        </is>
      </c>
      <c r="B8" s="438">
        <f>HYPERLINK("http://www.spoj.com/problems/PIR/","SPOJ PIR")</f>
        <v/>
      </c>
      <c r="C8" s="418" t="n"/>
      <c r="D8" s="418" t="n"/>
      <c r="E8" s="418" t="n"/>
      <c r="F8" s="418" t="n"/>
      <c r="G8" s="418" t="n"/>
      <c r="H8" s="418" t="n"/>
      <c r="I8" s="404">
        <f>SUM(E8:H8)</f>
        <v/>
      </c>
      <c r="J8" s="404" t="n"/>
      <c r="K8" s="404" t="n"/>
      <c r="L8" s="418" t="n"/>
      <c r="M8" s="474">
        <f>HYPERLINK("https://github.com/mostafa-saad/MyCompetitiveProgramming/blob/master/SPOJ/SPOJ_PIR.txt","Sol")</f>
        <v/>
      </c>
    </row>
    <row r="9" ht="15.75" customHeight="1" s="279">
      <c r="A9" s="437" t="inlineStr">
        <is>
          <t>Power of Cryptography</t>
        </is>
      </c>
      <c r="B9" s="438">
        <f>HYPERLINK("https://uva.onlinejudge.org/index.php?option=com_onlinejudge&amp;Itemid=8&amp;page=show_problem&amp;problem=49","UVA 113")</f>
        <v/>
      </c>
      <c r="C9" s="418" t="n"/>
      <c r="D9" s="418" t="n"/>
      <c r="E9" s="418" t="n"/>
      <c r="F9" s="418" t="n"/>
      <c r="G9" s="418" t="n"/>
      <c r="H9" s="418" t="n"/>
      <c r="I9" s="404">
        <f>SUM(E9:H9)</f>
        <v/>
      </c>
      <c r="J9" s="404" t="n"/>
      <c r="K9" s="404" t="n"/>
      <c r="L9" s="418" t="n"/>
      <c r="M9" s="315">
        <f>HYPERLINK("https://github.com/magdy-hasan/competitive-programming/blob/master/uva-/uva%20113%20-%20Power%20of%20Cryptography.cpp","Sol")</f>
        <v/>
      </c>
    </row>
    <row r="10" ht="15.75" customHeight="1" s="279">
      <c r="A10" s="437" t="n"/>
      <c r="B10" s="437" t="inlineStr">
        <is>
          <t>SRM458-D2-500</t>
        </is>
      </c>
      <c r="C10" s="418" t="n"/>
      <c r="D10" s="418" t="n"/>
      <c r="E10" s="418" t="n"/>
      <c r="F10" s="418" t="n"/>
      <c r="G10" s="418" t="n"/>
      <c r="H10" s="418" t="n"/>
      <c r="I10" s="404">
        <f>SUM(E10:H10)</f>
        <v/>
      </c>
      <c r="J10" s="404" t="n"/>
      <c r="K10" s="404" t="n"/>
      <c r="L10" s="418" t="n"/>
      <c r="M10" s="315" t="n"/>
    </row>
    <row r="11" ht="15.75" customHeight="1" s="279">
      <c r="A11" s="437" t="inlineStr">
        <is>
          <t>Is There A Second Way Left?</t>
        </is>
      </c>
      <c r="B11" s="317">
        <f>HYPERLINK("https://uva.onlinejudge.org/index.php?option=onlinejudge&amp;page=show_problem&amp;problem=1403","UVA 10462")</f>
        <v/>
      </c>
      <c r="C11" s="418" t="n"/>
      <c r="D11" s="418" t="n"/>
      <c r="E11" s="418" t="n"/>
      <c r="F11" s="418" t="n"/>
      <c r="G11" s="418" t="n"/>
      <c r="H11" s="418" t="n"/>
      <c r="I11" s="404">
        <f>SUM(E11:H11)</f>
        <v/>
      </c>
      <c r="J11" s="295" t="n"/>
      <c r="K11" s="295" t="n"/>
      <c r="L11" s="295" t="n"/>
      <c r="M11" s="472" t="inlineStr">
        <is>
          <t>Sol</t>
        </is>
      </c>
    </row>
    <row r="12" ht="15.75" customHeight="1" s="279">
      <c r="A12" s="437" t="n"/>
      <c r="B12" s="437" t="inlineStr">
        <is>
          <t>SRM381-D2-1000</t>
        </is>
      </c>
      <c r="C12" s="418" t="n"/>
      <c r="D12" s="418" t="n"/>
      <c r="E12" s="418" t="n"/>
      <c r="F12" s="418" t="n"/>
      <c r="G12" s="418" t="n"/>
      <c r="H12" s="418" t="n"/>
      <c r="I12" s="404">
        <f>SUM(E12:H12)</f>
        <v/>
      </c>
      <c r="J12" s="295" t="n"/>
      <c r="K12" s="295" t="n"/>
      <c r="L12" s="295" t="n"/>
      <c r="M12" s="295" t="n"/>
    </row>
    <row r="13" ht="15.75" customHeight="1" s="279">
      <c r="A13" s="295" t="n"/>
      <c r="B13" s="295" t="n"/>
      <c r="C13" s="418" t="n"/>
      <c r="D13" s="418" t="n"/>
      <c r="E13" s="418" t="n"/>
      <c r="F13" s="418" t="n"/>
      <c r="G13" s="418" t="n"/>
      <c r="H13" s="418" t="n"/>
      <c r="I13" s="404">
        <f>SUM(E13:H13)</f>
        <v/>
      </c>
      <c r="J13" s="404" t="n"/>
      <c r="K13" s="404" t="n"/>
      <c r="L13" s="418" t="n"/>
      <c r="M13" s="315" t="n"/>
    </row>
    <row r="14" ht="15.75" customHeight="1" s="279">
      <c r="A14" s="304" t="inlineStr">
        <is>
          <t>Modified GCD</t>
        </is>
      </c>
      <c r="B14" s="474">
        <f>HYPERLINK("http://codeforces.com/contest/75/problem/C","CF75-D2-C")</f>
        <v/>
      </c>
      <c r="C14" s="418" t="n"/>
      <c r="D14" s="418" t="n"/>
      <c r="E14" s="418" t="n"/>
      <c r="F14" s="418" t="n"/>
      <c r="G14" s="418" t="n"/>
      <c r="H14" s="418" t="n"/>
      <c r="I14" s="404">
        <f>SUM(E14:H14)</f>
        <v/>
      </c>
      <c r="J14" s="404" t="n"/>
      <c r="K14" s="404" t="n"/>
      <c r="L14" s="418" t="n"/>
      <c r="M14" s="419">
        <f>HYPERLINK("https://www.youtube.com/watch?v=EZg71v0Z5iE","Video Solution - Dr Mostafa Saad")</f>
        <v/>
      </c>
    </row>
    <row r="15" ht="15.75" customHeight="1" s="279">
      <c r="A15" s="304" t="inlineStr">
        <is>
          <t>Alyona and mex</t>
        </is>
      </c>
      <c r="B15" s="474">
        <f>HYPERLINK("http://codeforces.com/contest/740/problem/C","CF740-D2-C")</f>
        <v/>
      </c>
      <c r="C15" s="418" t="n"/>
      <c r="D15" s="418" t="n"/>
      <c r="E15" s="418" t="n"/>
      <c r="F15" s="418" t="n"/>
      <c r="G15" s="418" t="n"/>
      <c r="H15" s="418" t="n"/>
      <c r="I15" s="404">
        <f>SUM(E15:H15)</f>
        <v/>
      </c>
      <c r="J15" s="404" t="n"/>
      <c r="K15" s="404" t="n"/>
      <c r="L15" s="418" t="n"/>
      <c r="M15" s="419">
        <f>HYPERLINK("https://www.youtube.com/watch?v=yDt7GWiPeV4","Video Solution - Dr Mostafa Saad")</f>
        <v/>
      </c>
    </row>
    <row r="16" ht="15.75" customHeight="1" s="279">
      <c r="A16" s="304" t="inlineStr">
        <is>
          <t>Hamburgers</t>
        </is>
      </c>
      <c r="B16" s="474">
        <f>HYPERLINK("http://codeforces.com/contest/371/problem/C","CF371-D2-C")</f>
        <v/>
      </c>
      <c r="C16" s="418" t="n"/>
      <c r="D16" s="418" t="n"/>
      <c r="E16" s="418" t="n"/>
      <c r="F16" s="418" t="n"/>
      <c r="G16" s="418" t="n"/>
      <c r="H16" s="418" t="n"/>
      <c r="I16" s="404">
        <f>SUM(E16:H16)</f>
        <v/>
      </c>
      <c r="J16" s="404" t="n"/>
      <c r="K16" s="404" t="n"/>
      <c r="L16" s="418" t="n"/>
      <c r="M16" s="295" t="n"/>
    </row>
    <row r="17" ht="15.75" customHeight="1" s="279">
      <c r="A17" s="304" t="inlineStr">
        <is>
          <t>Wet Shark and Flowers</t>
        </is>
      </c>
      <c r="B17" s="474">
        <f>HYPERLINK("http://codeforces.com/contest/621/problem/C","CF621-D2-C")</f>
        <v/>
      </c>
      <c r="C17" s="418" t="n"/>
      <c r="D17" s="418" t="n"/>
      <c r="E17" s="418" t="n"/>
      <c r="F17" s="418" t="n"/>
      <c r="G17" s="418" t="n"/>
      <c r="H17" s="418" t="n"/>
      <c r="I17" s="404">
        <f>SUM(E17:H17)</f>
        <v/>
      </c>
      <c r="J17" s="404" t="n"/>
      <c r="K17" s="404" t="n"/>
      <c r="L17" s="418" t="n"/>
      <c r="M17" s="295" t="n"/>
    </row>
    <row r="18" ht="15.75" customHeight="1" s="279">
      <c r="A18" s="304" t="inlineStr">
        <is>
          <t>Predict Outcome of the Game</t>
        </is>
      </c>
      <c r="B18" s="474">
        <f>HYPERLINK("http://codeforces.com/contest/451/problem/C","CF451-D2-C")</f>
        <v/>
      </c>
      <c r="C18" s="418" t="n"/>
      <c r="D18" s="418" t="n"/>
      <c r="E18" s="418" t="n"/>
      <c r="F18" s="418" t="n"/>
      <c r="G18" s="418" t="n"/>
      <c r="H18" s="418" t="n"/>
      <c r="I18" s="404">
        <f>SUM(E18:H18)</f>
        <v/>
      </c>
      <c r="J18" s="404" t="n"/>
      <c r="K18" s="404" t="n"/>
      <c r="L18" s="418" t="n"/>
    </row>
    <row r="19" ht="15.75" customHeight="1" s="279">
      <c r="A19" s="304" t="inlineStr">
        <is>
          <t>Balls and Boxes</t>
        </is>
      </c>
      <c r="B19" s="474">
        <f>HYPERLINK("http://codeforces.com/contest/260/problem/C","CF260-D2-C")</f>
        <v/>
      </c>
      <c r="C19" s="433" t="n"/>
      <c r="D19" s="418" t="n"/>
      <c r="E19" s="418" t="n"/>
      <c r="F19" s="418" t="n"/>
      <c r="G19" s="418" t="n"/>
      <c r="H19" s="418" t="n"/>
      <c r="I19" s="404">
        <f>SUM(E19:H19)</f>
        <v/>
      </c>
      <c r="J19" s="404" t="n"/>
      <c r="K19" s="404" t="n"/>
      <c r="L19" s="295" t="n"/>
      <c r="M19" s="419">
        <f>HYPERLINK("https://www.youtube.com/watch?v=W3Zp3yqNsOs","Video Solution - Dr Mostafa Saad")</f>
        <v/>
      </c>
    </row>
    <row r="20" ht="15.75" customHeight="1" s="279">
      <c r="A20" s="304" t="inlineStr">
        <is>
          <t>Alice and Bob</t>
        </is>
      </c>
      <c r="B20" s="474">
        <f>HYPERLINK("http://codeforces.com/contest/347/problem/C","CF347-D2-C")</f>
        <v/>
      </c>
      <c r="C20" s="433" t="n"/>
      <c r="D20" s="418" t="n"/>
      <c r="E20" s="418" t="n"/>
      <c r="F20" s="418" t="n"/>
      <c r="G20" s="418" t="n"/>
      <c r="H20" s="418" t="n"/>
      <c r="I20" s="404">
        <f>SUM(E20:H20)</f>
        <v/>
      </c>
      <c r="J20" s="404" t="n"/>
      <c r="K20" s="404" t="n"/>
      <c r="L20" s="295" t="n"/>
      <c r="M20" s="419">
        <f>HYPERLINK("https://www.youtube.com/watch?v=CfBk2dwfLaE","Video Solution - Eng Mohamed Nasser")</f>
        <v/>
      </c>
    </row>
    <row r="21" ht="15.75" customHeight="1" s="279">
      <c r="A21" s="304" t="inlineStr">
        <is>
          <t>Mahmoud and Ehab and the wrong algorithm</t>
        </is>
      </c>
      <c r="B21" s="474">
        <f>HYPERLINK("http://codeforces.com/contest/959/problem/C","CF959-D2-C")</f>
        <v/>
      </c>
      <c r="C21" s="433" t="n"/>
      <c r="D21" s="418" t="n"/>
      <c r="E21" s="418" t="n"/>
      <c r="F21" s="418" t="n"/>
      <c r="G21" s="418" t="n"/>
      <c r="H21" s="418" t="n"/>
      <c r="I21" s="404">
        <f>SUM(E21:H21)</f>
        <v/>
      </c>
      <c r="J21" s="404" t="n"/>
      <c r="K21" s="404" t="n"/>
      <c r="L21" s="295" t="n"/>
      <c r="M21" s="419">
        <f>HYPERLINK("https://www.youtube.com/watch?v=bvDYHy9ESnY&amp;","Video Solution - Eng Mohamed Salah")</f>
        <v/>
      </c>
    </row>
    <row r="22" ht="15.75" customHeight="1" s="279">
      <c r="A22" s="304" t="inlineStr">
        <is>
          <t>Almost Equal</t>
        </is>
      </c>
      <c r="B22" s="474">
        <f>HYPERLINK("https://codeforces.com/contest/1206/problem/C","CF1206-D2-C")</f>
        <v/>
      </c>
      <c r="C22" s="433" t="n"/>
      <c r="D22" s="418" t="n"/>
      <c r="E22" s="418" t="n"/>
      <c r="F22" s="418" t="n"/>
      <c r="G22" s="418" t="n"/>
      <c r="H22" s="418" t="n"/>
      <c r="I22" s="404">
        <f>SUM(E22:H22)</f>
        <v/>
      </c>
      <c r="J22" s="404" t="n"/>
      <c r="K22" s="404" t="n"/>
      <c r="L22" s="295" t="n"/>
      <c r="M22" s="419">
        <f>HYPERLINK("https://www.youtube.com/watch?v=7D-8VO66OF8","Video Solution - Dr Mostafa Saad")</f>
        <v/>
      </c>
    </row>
    <row r="23" ht="15.75" customHeight="1" s="279">
      <c r="A23" s="304" t="n"/>
      <c r="B23" s="453">
        <f>HYPERLINK("https://codeforces.com/contest/1220/problem/C","CF1220-D12-C")</f>
        <v/>
      </c>
      <c r="C23" s="433" t="n"/>
      <c r="D23" s="418" t="n"/>
      <c r="E23" s="418" t="n"/>
      <c r="F23" s="418" t="n"/>
      <c r="G23" s="418" t="n"/>
      <c r="H23" s="418" t="n"/>
      <c r="I23" s="404">
        <f>SUM(E23:H23)</f>
        <v/>
      </c>
      <c r="J23" s="404" t="n"/>
      <c r="K23" s="404" t="n"/>
      <c r="L23" s="295" t="n"/>
      <c r="M23" s="295" t="n"/>
    </row>
    <row r="24" ht="15.75" customHeight="1" s="279">
      <c r="A24" s="304" t="n"/>
      <c r="B24" s="474">
        <f>HYPERLINK("http://codeforces.com/contest/1065/problem/C","CF1065-D2-C")</f>
        <v/>
      </c>
      <c r="C24" s="433" t="n"/>
      <c r="D24" s="418" t="n"/>
      <c r="E24" s="418" t="n"/>
      <c r="F24" s="418" t="n"/>
      <c r="G24" s="418" t="n"/>
      <c r="H24" s="418" t="n"/>
      <c r="I24" s="404">
        <f>SUM(E24:H24)</f>
        <v/>
      </c>
      <c r="J24" s="404" t="n"/>
      <c r="K24" s="404" t="n"/>
      <c r="L24" s="295" t="n"/>
      <c r="M24" s="295" t="n"/>
    </row>
    <row r="25" ht="15.75" customHeight="1" s="279">
      <c r="A25" s="304" t="n"/>
      <c r="B25" s="474">
        <f>HYPERLINK("http://codeforces.com/contest/1036/problem/C","CF1036-D2-C")</f>
        <v/>
      </c>
      <c r="C25" s="433" t="n"/>
      <c r="D25" s="418" t="n"/>
      <c r="E25" s="418" t="n"/>
      <c r="F25" s="418" t="n"/>
      <c r="G25" s="418" t="n"/>
      <c r="H25" s="418" t="n"/>
      <c r="I25" s="404">
        <f>SUM(E25:H25)</f>
        <v/>
      </c>
      <c r="J25" s="404" t="n"/>
      <c r="K25" s="404" t="n"/>
      <c r="L25" s="295" t="n"/>
      <c r="M25" s="295" t="n"/>
    </row>
    <row r="26" ht="15.75" customHeight="1" s="279">
      <c r="A26" s="304" t="n"/>
      <c r="B26" s="474">
        <f>HYPERLINK("https://codeforces.com/contest/1068/problem/C","CF1068-D2-C")</f>
        <v/>
      </c>
      <c r="C26" s="433" t="n"/>
      <c r="D26" s="418" t="n"/>
      <c r="E26" s="418" t="n"/>
      <c r="F26" s="418" t="n"/>
      <c r="G26" s="418" t="n"/>
      <c r="H26" s="418" t="n"/>
      <c r="I26" s="404">
        <f>SUM(E26:H26)</f>
        <v/>
      </c>
      <c r="J26" s="404" t="n"/>
      <c r="K26" s="404" t="n"/>
      <c r="L26" s="295" t="n"/>
      <c r="M26" s="295" t="n"/>
    </row>
    <row r="27" ht="15.75" customHeight="1" s="279">
      <c r="A27" s="304" t="n"/>
      <c r="B27" s="417">
        <f>HYPERLINK("http://codeforces.com/contest/313/problem/C","CF313-D2-C")</f>
        <v/>
      </c>
      <c r="C27" s="433" t="n"/>
      <c r="D27" s="418" t="n"/>
      <c r="E27" s="418" t="n"/>
      <c r="F27" s="418" t="n"/>
      <c r="G27" s="418" t="n"/>
      <c r="H27" s="418" t="n"/>
      <c r="I27" s="404">
        <f>SUM(E27:H27)</f>
        <v/>
      </c>
      <c r="J27" s="404" t="n"/>
      <c r="K27" s="404" t="n"/>
      <c r="L27" s="295" t="n"/>
      <c r="M27" s="295" t="n"/>
    </row>
    <row r="28" ht="15.75" customHeight="1" s="279">
      <c r="A28" s="482" t="inlineStr">
        <is>
          <t>Balls Game</t>
        </is>
      </c>
      <c r="B28" s="318">
        <f>HYPERLINK("http://codeforces.com/contest/430/problem/B","CF430-D2-B")</f>
        <v/>
      </c>
      <c r="C28" s="433" t="n"/>
      <c r="D28" s="418" t="n"/>
      <c r="E28" s="418" t="n"/>
      <c r="F28" s="418" t="n"/>
      <c r="G28" s="418" t="n"/>
      <c r="H28" s="418" t="n"/>
      <c r="I28" s="404">
        <f>SUM(E28:H28)</f>
        <v/>
      </c>
      <c r="J28" s="404" t="n"/>
      <c r="K28" s="404" t="n"/>
      <c r="L28" s="295" t="n"/>
      <c r="M28" s="295" t="n"/>
    </row>
    <row r="29" ht="15.75" customHeight="1" s="279">
      <c r="A29" s="482" t="inlineStr">
        <is>
          <t>Magical Array</t>
        </is>
      </c>
      <c r="B29" s="318">
        <f>HYPERLINK("http://codeforces.com/contest/84/problem/B","CF84-D2-B")</f>
        <v/>
      </c>
      <c r="C29" s="433" t="n"/>
      <c r="D29" s="418" t="n"/>
      <c r="E29" s="418" t="n"/>
      <c r="F29" s="418" t="n"/>
      <c r="G29" s="418" t="n"/>
      <c r="H29" s="418" t="n"/>
      <c r="I29" s="404">
        <f>SUM(E29:H29)</f>
        <v/>
      </c>
      <c r="J29" s="404" t="n"/>
      <c r="K29" s="404" t="n"/>
      <c r="L29" s="295" t="n"/>
      <c r="M29" s="295" t="n"/>
    </row>
    <row r="30" ht="15.75" customHeight="1" s="279">
      <c r="A30" s="295" t="n"/>
      <c r="B30" s="295" t="n"/>
      <c r="C30" s="433" t="n"/>
      <c r="D30" s="418" t="n"/>
      <c r="E30" s="418" t="n"/>
      <c r="F30" s="418" t="n"/>
      <c r="G30" s="418" t="n"/>
      <c r="H30" s="418" t="n"/>
      <c r="I30" s="404">
        <f>SUM(E30:H30)</f>
        <v/>
      </c>
      <c r="J30" s="404" t="n"/>
      <c r="K30" s="404" t="n"/>
      <c r="L30" s="418" t="n"/>
      <c r="M30" s="458">
        <f>HYPERLINK("https://www.youtube.com/watch?v=fT4JZU5hO58","Watch - Thinking - Misc - Solution Verification - Implementation")</f>
        <v/>
      </c>
    </row>
    <row r="31" ht="15.75" customHeight="1" s="279">
      <c r="A31" s="295" t="n"/>
      <c r="B31" s="295" t="n"/>
      <c r="C31" s="433" t="n"/>
      <c r="D31" s="418" t="n"/>
      <c r="E31" s="418" t="n"/>
      <c r="F31" s="418" t="n"/>
      <c r="G31" s="418" t="n"/>
      <c r="H31" s="418" t="n"/>
      <c r="I31" s="404">
        <f>SUM(E31:H31)</f>
        <v/>
      </c>
      <c r="J31" s="404" t="n"/>
      <c r="K31" s="404" t="n"/>
      <c r="L31" s="418" t="n"/>
      <c r="M31" s="458">
        <f>HYPERLINK("https://www.youtube.com/watch?v=6GzxGabB5MI","Watch - Graph Theory - Dijkstra")</f>
        <v/>
      </c>
    </row>
    <row r="32" ht="15.75" customHeight="1" s="279">
      <c r="A32" s="432" t="inlineStr">
        <is>
          <t>Jugs</t>
        </is>
      </c>
      <c r="B32" s="462">
        <f>HYPERLINK("https://uva.onlinejudge.org/index.php?option=com_onlinejudge&amp;Itemid=8&amp;page=show_problem&amp;problem=512","UVA 571")</f>
        <v/>
      </c>
      <c r="C32" s="433" t="n"/>
      <c r="D32" s="418" t="n"/>
      <c r="E32" s="418" t="n"/>
      <c r="F32" s="418" t="n"/>
      <c r="G32" s="418" t="n"/>
      <c r="H32" s="418" t="n"/>
      <c r="I32" s="404">
        <f>SUM(E32:H32)</f>
        <v/>
      </c>
      <c r="J32" s="404" t="n"/>
      <c r="K32" s="404" t="n"/>
      <c r="L32" s="295" t="n"/>
      <c r="M32" s="417">
        <f>HYPERLINK("https://www.youtube.com/watch?v=y0J3Jznp3kE","Video Solution - Dr Mostafa Saad")</f>
        <v/>
      </c>
    </row>
    <row r="33" ht="15.75" customHeight="1" s="279">
      <c r="A33" s="432" t="inlineStr">
        <is>
          <t>Sending email</t>
        </is>
      </c>
      <c r="B33" s="316">
        <f>HYPERLINK("https://uva.onlinejudge.org/index.php?option=com_onlinejudge&amp;Itemid=8&amp;page=show_problem&amp;problem=1927","UVA 10986")</f>
        <v/>
      </c>
      <c r="C33" s="433" t="n"/>
      <c r="D33" s="418" t="n"/>
      <c r="E33" s="418" t="n"/>
      <c r="F33" s="418" t="n"/>
      <c r="G33" s="418" t="n"/>
      <c r="H33" s="418" t="n"/>
      <c r="I33" s="404">
        <f>SUM(E33:H33)</f>
        <v/>
      </c>
      <c r="J33" s="404" t="n"/>
      <c r="K33" s="404" t="n"/>
      <c r="L33" s="418" t="n"/>
      <c r="M33" s="295" t="n"/>
    </row>
    <row r="34" ht="15.75" customHeight="1" s="279">
      <c r="A34" s="432" t="inlineStr">
        <is>
          <t>Lift Hopping</t>
        </is>
      </c>
      <c r="B34" s="316">
        <f>HYPERLINK("https://uva.onlinejudge.org/index.php?option=onlinejudge&amp;page=show_problem&amp;problem=1742","UVA 10801")</f>
        <v/>
      </c>
      <c r="C34" s="433" t="n"/>
      <c r="D34" s="418" t="n"/>
      <c r="E34" s="418" t="n"/>
      <c r="F34" s="418" t="n"/>
      <c r="G34" s="418" t="n"/>
      <c r="H34" s="418" t="n"/>
      <c r="I34" s="404">
        <f>SUM(E34:H34)</f>
        <v/>
      </c>
      <c r="J34" s="404" t="n"/>
      <c r="K34" s="404" t="n"/>
      <c r="L34" s="418" t="n"/>
      <c r="M34" s="295" t="n"/>
    </row>
    <row r="35" ht="15.75" customHeight="1" s="279">
      <c r="A35" s="432" t="inlineStr">
        <is>
          <t>Shopping</t>
        </is>
      </c>
      <c r="B35" s="316">
        <f>HYPERLINK("http://www.spoj.com/problems/SHOP/","SPOJ SHOP")</f>
        <v/>
      </c>
      <c r="C35" s="433" t="n"/>
      <c r="D35" s="418" t="n"/>
      <c r="E35" s="418" t="n"/>
      <c r="F35" s="418" t="n"/>
      <c r="G35" s="418" t="n"/>
      <c r="H35" s="418" t="n"/>
      <c r="I35" s="404">
        <f>SUM(E35:H35)</f>
        <v/>
      </c>
      <c r="J35" s="404" t="n"/>
      <c r="K35" s="404" t="n"/>
      <c r="L35" s="418" t="n"/>
      <c r="M35" s="295" t="n"/>
    </row>
    <row r="36" ht="15.75" customHeight="1" s="279">
      <c r="A36" s="437" t="inlineStr">
        <is>
          <t>Ordering</t>
        </is>
      </c>
      <c r="B36" s="317">
        <f>HYPERLINK("https://uva.onlinejudge.org/index.php?option=onlinejudge&amp;page=show_problem&amp;problem=813","UVA 872")</f>
        <v/>
      </c>
      <c r="C36" s="433" t="n"/>
      <c r="D36" s="418" t="n"/>
      <c r="E36" s="418" t="n"/>
      <c r="F36" s="418" t="n"/>
      <c r="G36" s="418" t="n"/>
      <c r="H36" s="418" t="n"/>
      <c r="I36" s="404">
        <f>SUM(E36:H36)</f>
        <v/>
      </c>
      <c r="J36" s="295" t="n"/>
      <c r="K36" s="295" t="n"/>
      <c r="L36" s="295" t="n"/>
      <c r="M36" s="472" t="inlineStr">
        <is>
          <t>Sol</t>
        </is>
      </c>
    </row>
    <row r="37" ht="15.75" customHeight="1" s="279">
      <c r="A37" s="437" t="n"/>
      <c r="B37" s="317">
        <f>HYPERLINK("https://codeforces.com/contest/1064/problem/C","CF1064-D2-C")</f>
        <v/>
      </c>
      <c r="C37" s="433" t="n"/>
      <c r="D37" s="418" t="n"/>
      <c r="E37" s="418" t="n"/>
      <c r="F37" s="418" t="n"/>
      <c r="G37" s="418" t="n"/>
      <c r="H37" s="418" t="n"/>
      <c r="I37" s="404">
        <f>SUM(E37:H37)</f>
        <v/>
      </c>
      <c r="J37" s="295" t="n"/>
      <c r="K37" s="295" t="n"/>
      <c r="L37" s="295" t="n"/>
      <c r="M37" s="295" t="n"/>
    </row>
    <row r="38" ht="15.75" customHeight="1" s="279">
      <c r="A38" s="437" t="n"/>
      <c r="B38" s="317">
        <f>HYPERLINK("https://codeforces.com/contest/1059/problem/C","CF1059-D2-C")</f>
        <v/>
      </c>
      <c r="C38" s="433" t="n"/>
      <c r="D38" s="418" t="n"/>
      <c r="E38" s="418" t="n"/>
      <c r="F38" s="418" t="n"/>
      <c r="G38" s="418" t="n"/>
      <c r="H38" s="418" t="n"/>
      <c r="I38" s="404">
        <f>SUM(E38:H38)</f>
        <v/>
      </c>
      <c r="J38" s="295" t="n"/>
      <c r="K38" s="295" t="n"/>
      <c r="L38" s="295" t="n"/>
      <c r="M38" s="295" t="n"/>
    </row>
    <row r="39" ht="15.75" customHeight="1" s="279">
      <c r="A39" s="437" t="n"/>
      <c r="B39" s="317">
        <f>HYPERLINK("https://codeforces.com/gym/101933/problem/K","CF101933-GYM-K")</f>
        <v/>
      </c>
      <c r="C39" s="433" t="n"/>
      <c r="D39" s="418" t="n"/>
      <c r="E39" s="418" t="n"/>
      <c r="F39" s="418" t="n"/>
      <c r="G39" s="418" t="n"/>
      <c r="H39" s="418" t="n"/>
      <c r="I39" s="404">
        <f>SUM(E39:H39)</f>
        <v/>
      </c>
      <c r="J39" s="295" t="n"/>
      <c r="K39" s="295" t="n"/>
      <c r="L39" s="295" t="n"/>
      <c r="M39" s="419">
        <f>HYPERLINK("https://github.com/pranavjangir/CompetitiveProgramming/blob/master/CodeForces/CF101933-GYM-K.cpp","Sol")</f>
        <v/>
      </c>
    </row>
    <row r="40" ht="15.75" customHeight="1" s="279">
      <c r="A40" s="437" t="inlineStr">
        <is>
          <t>Karen and Coffee</t>
        </is>
      </c>
      <c r="B40" s="438">
        <f>HYPERLINK("http://codeforces.com/contest/816/problem/B","CF816-D2-B")</f>
        <v/>
      </c>
      <c r="C40" s="301" t="n"/>
      <c r="D40" s="295" t="n"/>
      <c r="E40" s="295" t="n"/>
      <c r="F40" s="295" t="n"/>
      <c r="G40" s="295" t="n"/>
      <c r="H40" s="295" t="n"/>
      <c r="I40" s="418">
        <f>SUM(E40:H40)</f>
        <v/>
      </c>
      <c r="J40" s="295" t="n"/>
      <c r="K40" s="295" t="n"/>
      <c r="L40" s="295" t="n"/>
      <c r="M40" s="419">
        <f>HYPERLINK("https://www.youtube.com/watch?v=S0nKXwwWG8Y","Video Solution - Dr Mostafa Saad")</f>
        <v/>
      </c>
    </row>
    <row r="41" ht="15.75" customHeight="1" s="279">
      <c r="A41" s="295" t="n"/>
      <c r="B41" s="295" t="n"/>
      <c r="C41" s="433" t="n"/>
      <c r="D41" s="418" t="n"/>
      <c r="E41" s="418" t="n"/>
      <c r="F41" s="418" t="n"/>
      <c r="G41" s="418" t="n"/>
      <c r="H41" s="418" t="n"/>
      <c r="I41" s="404">
        <f>SUM(E41:H41)</f>
        <v/>
      </c>
      <c r="J41" s="404" t="n"/>
      <c r="K41" s="404" t="n"/>
      <c r="L41" s="418" t="n"/>
      <c r="M41" s="295" t="n"/>
    </row>
    <row r="42" ht="15.75" customHeight="1" s="279">
      <c r="A42" s="304" t="inlineStr">
        <is>
          <t>Bulls and Cows</t>
        </is>
      </c>
      <c r="B42" s="474">
        <f>HYPERLINK("http://codeforces.com/contest/63/problem/C","CF63-D2-C")</f>
        <v/>
      </c>
      <c r="C42" s="433" t="n"/>
      <c r="D42" s="418" t="n"/>
      <c r="E42" s="418" t="n"/>
      <c r="F42" s="418" t="n"/>
      <c r="G42" s="418" t="n"/>
      <c r="H42" s="418" t="n"/>
      <c r="I42" s="404">
        <f>SUM(E42:H42)</f>
        <v/>
      </c>
      <c r="J42" s="404" t="n"/>
      <c r="K42" s="404" t="n"/>
      <c r="L42" s="418" t="n"/>
      <c r="M42" s="474">
        <f>HYPERLINK("https://github.com/ilyesG/Competitive-Programming/blob/master/CodeForces/CF63-D2-C.cpp","Sol")</f>
        <v/>
      </c>
    </row>
    <row r="43" ht="15.75" customHeight="1" s="279">
      <c r="A43" s="304" t="inlineStr">
        <is>
          <t>Xor-tree</t>
        </is>
      </c>
      <c r="B43" s="474">
        <f>HYPERLINK("http://codeforces.com/contest/430/problem/C","CF430-D2-C")</f>
        <v/>
      </c>
      <c r="C43" s="433" t="n"/>
      <c r="D43" s="418" t="n"/>
      <c r="E43" s="418" t="n"/>
      <c r="F43" s="418" t="n"/>
      <c r="G43" s="418" t="n"/>
      <c r="H43" s="418" t="n"/>
      <c r="I43" s="404">
        <f>SUM(E43:H43)</f>
        <v/>
      </c>
      <c r="J43" s="404" t="n"/>
      <c r="K43" s="404" t="n"/>
      <c r="L43" s="418" t="n"/>
      <c r="M43" s="295" t="n"/>
    </row>
    <row r="44" ht="15.75" customHeight="1" s="279">
      <c r="A44" s="304" t="inlineStr">
        <is>
          <t>Median Smoothing</t>
        </is>
      </c>
      <c r="B44" s="474">
        <f>HYPERLINK("http://codeforces.com/contest/591/problem/C","CF591-D2-C")</f>
        <v/>
      </c>
      <c r="C44" s="433" t="n"/>
      <c r="D44" s="418" t="n"/>
      <c r="E44" s="418" t="n"/>
      <c r="F44" s="418" t="n"/>
      <c r="G44" s="418" t="n"/>
      <c r="H44" s="418" t="n"/>
      <c r="I44" s="404">
        <f>SUM(E44:H44)</f>
        <v/>
      </c>
      <c r="J44" s="404" t="n"/>
      <c r="K44" s="404" t="n"/>
      <c r="L44" s="418" t="n"/>
      <c r="M44" s="295" t="n"/>
    </row>
    <row r="45" ht="15.75" customHeight="1" s="279">
      <c r="A45" s="304" t="inlineStr">
        <is>
          <t>Coloring Trees</t>
        </is>
      </c>
      <c r="B45" s="474">
        <f>HYPERLINK("http://codeforces.com/contest/711/problem/C","CF711-D2-C")</f>
        <v/>
      </c>
      <c r="C45" s="433" t="n"/>
      <c r="D45" s="418" t="n"/>
      <c r="E45" s="418" t="n"/>
      <c r="F45" s="418" t="n"/>
      <c r="G45" s="418" t="n"/>
      <c r="H45" s="418" t="n"/>
      <c r="I45" s="404">
        <f>SUM(E45:H45)</f>
        <v/>
      </c>
      <c r="J45" s="404" t="n"/>
      <c r="K45" s="404" t="n"/>
      <c r="L45" s="418" t="n"/>
      <c r="M45" s="419">
        <f>HYPERLINK("https://www.youtube.com/watch?v=aYERNlE7KLU","Video Solution - Solver to be")</f>
        <v/>
      </c>
    </row>
    <row r="46" ht="15.75" customHeight="1" s="279">
      <c r="A46" s="295" t="inlineStr">
        <is>
          <t>Clear Symmetry</t>
        </is>
      </c>
      <c r="B46" s="417">
        <f>HYPERLINK("http://codeforces.com/contest/202/problem/C","CF202-D2-C")</f>
        <v/>
      </c>
      <c r="C46" s="433" t="n"/>
      <c r="D46" s="418" t="n"/>
      <c r="E46" s="418" t="n"/>
      <c r="F46" s="418" t="n"/>
      <c r="G46" s="418" t="n"/>
      <c r="H46" s="418" t="n"/>
      <c r="I46" s="404">
        <f>SUM(E46:H46)</f>
        <v/>
      </c>
      <c r="J46" s="404" t="n"/>
      <c r="K46" s="404" t="n"/>
      <c r="L46" s="295" t="n"/>
      <c r="M46" s="295" t="n"/>
    </row>
    <row r="47" ht="30.75" customHeight="1" s="279">
      <c r="A47" s="295" t="n"/>
      <c r="B47" s="453">
        <f>HYPERLINK("https://codeforces.com/contest/1237/problem/C2","CF1237-D12-C2")</f>
        <v/>
      </c>
      <c r="C47" s="433" t="n"/>
      <c r="D47" s="418" t="n"/>
      <c r="E47" s="418" t="n"/>
      <c r="F47" s="418" t="n"/>
      <c r="G47" s="418" t="n"/>
      <c r="H47" s="418" t="n"/>
      <c r="I47" s="404">
        <f>SUM(E47:H47)</f>
        <v/>
      </c>
      <c r="J47" s="404" t="n"/>
      <c r="K47" s="404" t="n"/>
      <c r="L47" s="295" t="n"/>
      <c r="M47" s="295" t="n"/>
    </row>
    <row r="48" ht="15.75" customHeight="1" s="279">
      <c r="A48" s="482" t="inlineStr">
        <is>
          <t>Sereja and Mirroring</t>
        </is>
      </c>
      <c r="B48" s="318">
        <f>HYPERLINK("http://codeforces.com/contest/426/problem/B","CF426-D2-B")</f>
        <v/>
      </c>
      <c r="C48" s="433" t="n"/>
      <c r="D48" s="418" t="n"/>
      <c r="E48" s="418" t="n"/>
      <c r="F48" s="418" t="n"/>
      <c r="G48" s="418" t="n"/>
      <c r="H48" s="418" t="n"/>
      <c r="I48" s="404">
        <f>SUM(E48:H48)</f>
        <v/>
      </c>
      <c r="J48" s="404" t="n"/>
      <c r="K48" s="404" t="n"/>
      <c r="L48" s="418" t="n"/>
      <c r="M48" s="295" t="n"/>
    </row>
    <row r="49" ht="15.75" customHeight="1" s="279">
      <c r="A49" s="482" t="inlineStr">
        <is>
          <t>Restoring Painting</t>
        </is>
      </c>
      <c r="B49" s="318">
        <f>HYPERLINK("http://codeforces.com/contest/675/problem/B","CF675-D2-B")</f>
        <v/>
      </c>
      <c r="C49" s="433" t="n"/>
      <c r="D49" s="418" t="n"/>
      <c r="E49" s="418" t="n"/>
      <c r="F49" s="418" t="n"/>
      <c r="G49" s="418" t="n"/>
      <c r="H49" s="418" t="n"/>
      <c r="I49" s="404">
        <f>SUM(E49:H49)</f>
        <v/>
      </c>
      <c r="J49" s="404" t="n"/>
      <c r="K49" s="404" t="n"/>
      <c r="L49" s="418" t="n"/>
      <c r="M49" s="295" t="n"/>
    </row>
    <row r="50" ht="15.75" customHeight="1" s="279">
      <c r="A50" s="295" t="n"/>
      <c r="B50" s="295" t="n"/>
      <c r="C50" s="433" t="n"/>
      <c r="D50" s="418" t="n"/>
      <c r="E50" s="418" t="n"/>
      <c r="F50" s="418" t="n"/>
      <c r="G50" s="418" t="n"/>
      <c r="H50" s="418" t="n"/>
      <c r="I50" s="404" t="n"/>
      <c r="J50" s="404" t="n"/>
      <c r="K50" s="404" t="n"/>
      <c r="L50" s="418" t="n"/>
      <c r="M50" s="458" t="n"/>
    </row>
    <row r="51" ht="15.75" customHeight="1" s="279">
      <c r="A51" s="295" t="n"/>
      <c r="B51" s="295" t="n"/>
      <c r="C51" s="433" t="n"/>
      <c r="D51" s="418" t="n"/>
      <c r="E51" s="418" t="n"/>
      <c r="F51" s="418" t="n"/>
      <c r="G51" s="418" t="n"/>
      <c r="H51" s="418" t="n"/>
      <c r="I51" s="404">
        <f>SUM(E51:H51)</f>
        <v/>
      </c>
      <c r="J51" s="404" t="n"/>
      <c r="K51" s="404" t="n"/>
      <c r="L51" s="418" t="n"/>
      <c r="M51" s="458">
        <f>HYPERLINK("https://www.youtube.com/watch?v=k5fDfC9vfWM","Watch - Computational Geometry - Lines Intersections")</f>
        <v/>
      </c>
    </row>
    <row r="52" ht="15.75" customHeight="1" s="279">
      <c r="A52" s="432" t="inlineStr">
        <is>
          <t>Gleaming the Cubes</t>
        </is>
      </c>
      <c r="B52" s="316">
        <f>HYPERLINK("https://uva.onlinejudge.org/index.php?option=onlinejudge&amp;page=show_problem&amp;problem=678","UVA 737")</f>
        <v/>
      </c>
      <c r="C52" s="433" t="n"/>
      <c r="D52" s="418" t="n"/>
      <c r="E52" s="418" t="n"/>
      <c r="F52" s="418" t="n"/>
      <c r="G52" s="418" t="n"/>
      <c r="H52" s="418" t="n"/>
      <c r="I52" s="404">
        <f>SUM(E52:H52)</f>
        <v/>
      </c>
      <c r="J52" s="404" t="n"/>
      <c r="K52" s="404" t="n"/>
      <c r="L52" s="418" t="n"/>
      <c r="M52" s="474">
        <f>HYPERLINK("https://github.com/mostafa-saad/MyCompetitiveProgramming/blob/master/UVA/UVA_737.txt","Sol")</f>
        <v/>
      </c>
    </row>
    <row r="53" ht="15.75" customHeight="1" s="279">
      <c r="A53" s="432" t="inlineStr">
        <is>
          <t>Intersecting Line Segments</t>
        </is>
      </c>
      <c r="B53" s="316">
        <f>HYPERLINK("https://uva.onlinejudge.org/index.php?option=com_onlinejudge&amp;Itemid=8&amp;page=show_problem&amp;problem=807","UVA 866")</f>
        <v/>
      </c>
      <c r="C53" s="433" t="n"/>
      <c r="D53" s="418" t="n"/>
      <c r="E53" s="418" t="n"/>
      <c r="F53" s="418" t="n"/>
      <c r="G53" s="418" t="n"/>
      <c r="H53" s="418" t="n"/>
      <c r="I53" s="404">
        <f>SUM(E53:H53)</f>
        <v/>
      </c>
      <c r="J53" s="404" t="n"/>
      <c r="K53" s="404" t="n"/>
      <c r="L53" s="418" t="n"/>
      <c r="M53" s="474">
        <f>HYPERLINK("https://github.com/MeGaCrazy/CompetitiveProgramming/blob/master/UVA/UVA_866.cpp","Sol")</f>
        <v/>
      </c>
    </row>
    <row r="54" ht="15.75" customHeight="1" s="279">
      <c r="A54" s="295" t="n"/>
      <c r="B54" s="295" t="n"/>
      <c r="C54" s="433" t="n"/>
      <c r="D54" s="418" t="n"/>
      <c r="E54" s="418" t="n"/>
      <c r="F54" s="418" t="n"/>
      <c r="G54" s="418" t="n"/>
      <c r="H54" s="418" t="n"/>
      <c r="I54" s="404">
        <f>SUM(E54:H54)</f>
        <v/>
      </c>
      <c r="J54" s="404" t="n"/>
      <c r="K54" s="404" t="n"/>
      <c r="L54" s="418" t="n"/>
      <c r="M54" s="458">
        <f>HYPERLINK("https://www.youtube.com/watch?v=Fa69kqT9NPY","Watch - Computational Geometry - Circles")</f>
        <v/>
      </c>
    </row>
    <row r="55" ht="15.75" customHeight="1" s="279">
      <c r="A55" s="432" t="inlineStr">
        <is>
          <t>The Circumference of the Circle</t>
        </is>
      </c>
      <c r="B55" s="316">
        <f>HYPERLINK("https://uva.onlinejudge.org/index.php?option=onlinejudge&amp;page=show_problem&amp;problem=379","UVA 438")</f>
        <v/>
      </c>
      <c r="C55" s="433" t="n"/>
      <c r="D55" s="418" t="n"/>
      <c r="E55" s="418" t="n"/>
      <c r="F55" s="418" t="n"/>
      <c r="G55" s="418" t="n"/>
      <c r="H55" s="418" t="n"/>
      <c r="I55" s="404">
        <f>SUM(E55:H55)</f>
        <v/>
      </c>
      <c r="J55" s="404" t="n"/>
      <c r="K55" s="404" t="n"/>
      <c r="L55" s="418" t="n"/>
      <c r="M55" s="474">
        <f>HYPERLINK("https://github.com/hosamk92/CompetitiveProgramming/blob/master/UVA/UVA%20438.cpp","Sol")</f>
        <v/>
      </c>
    </row>
    <row r="56" ht="15.75" customHeight="1" s="279">
      <c r="A56" s="432" t="inlineStr">
        <is>
          <t>Points in Figures: Rectangles and Circles</t>
        </is>
      </c>
      <c r="B56" s="316">
        <f>HYPERLINK("https://uva.onlinejudge.org/index.php?option=com_onlinejudge&amp;Itemid=8&amp;page=show_problem&amp;problem=418","UVA 477")</f>
        <v/>
      </c>
      <c r="C56" s="433" t="n"/>
      <c r="D56" s="418" t="n"/>
      <c r="E56" s="418" t="n"/>
      <c r="F56" s="418" t="n"/>
      <c r="G56" s="418" t="n"/>
      <c r="H56" s="418" t="n"/>
      <c r="I56" s="404">
        <f>SUM(E56:H56)</f>
        <v/>
      </c>
      <c r="J56" s="404" t="n"/>
      <c r="K56" s="404" t="n"/>
      <c r="L56" s="418" t="n"/>
      <c r="M56" s="474">
        <f>HYPERLINK("https://github.com/MeGaCrazy/CompetitiveProgramming/blob/5343b4e1aabd67db25a4864de4eb81eb094709e3/UVA/UVA_477.cpp","Sol")</f>
        <v/>
      </c>
    </row>
    <row r="57" ht="15.75" customHeight="1" s="279">
      <c r="A57" s="432" t="inlineStr">
        <is>
          <t>Square Pegs And Round Holes</t>
        </is>
      </c>
      <c r="B57" s="316">
        <f>HYPERLINK("https://uva.onlinejudge.org/index.php?option=onlinejudge&amp;page=show_problem&amp;problem=292","UVA 356")</f>
        <v/>
      </c>
      <c r="C57" s="433" t="n"/>
      <c r="D57" s="418" t="n"/>
      <c r="E57" s="418" t="n"/>
      <c r="F57" s="418" t="n"/>
      <c r="G57" s="418" t="n"/>
      <c r="H57" s="418" t="n"/>
      <c r="I57" s="404">
        <f>SUM(E57:H57)</f>
        <v/>
      </c>
      <c r="J57" s="404" t="n"/>
      <c r="K57" s="404" t="n"/>
      <c r="L57" s="418" t="n"/>
      <c r="M57" s="419">
        <f>HYPERLINK("https://github.com/AymanSalah96/CompetitiveProgramming/blob/master/UVA/356.cpp","Sol to read")</f>
        <v/>
      </c>
    </row>
    <row r="58" ht="15.75" customHeight="1" s="279">
      <c r="A58" s="432" t="n"/>
      <c r="B58" s="316" t="inlineStr">
        <is>
          <t>UVA 453</t>
        </is>
      </c>
      <c r="C58" s="433" t="n"/>
      <c r="D58" s="418" t="n"/>
      <c r="E58" s="418" t="n"/>
      <c r="F58" s="418" t="n"/>
      <c r="G58" s="418" t="n"/>
      <c r="H58" s="418" t="n"/>
      <c r="I58" s="404">
        <f>SUM(E58:H58)</f>
        <v/>
      </c>
      <c r="J58" s="295" t="n"/>
      <c r="K58" s="295" t="n"/>
      <c r="L58" s="295" t="n"/>
      <c r="M58" s="417">
        <f>HYPERLINK("https://github.com/MeGaCrazy/CompetitiveProgramming/blob/c099628e643065a7bae09af22c4cbce1216e4db9/UVA/UVA_453.cpp","Learn Handling Precisions")</f>
        <v/>
      </c>
    </row>
    <row r="59" ht="15.75" customHeight="1" s="279">
      <c r="A59" s="437" t="inlineStr">
        <is>
          <t>Divisibility of Factors</t>
        </is>
      </c>
      <c r="B59" s="438">
        <f>HYPERLINK("https://uva.onlinejudge.org/index.php?option=onlinejudge&amp;page=show_problem&amp;problem=1425","UVA 10484")</f>
        <v/>
      </c>
      <c r="C59" s="433" t="n"/>
      <c r="D59" s="418" t="n"/>
      <c r="E59" s="418" t="n"/>
      <c r="F59" s="418" t="n"/>
      <c r="G59" s="418" t="n"/>
      <c r="H59" s="418" t="n"/>
      <c r="I59" s="404">
        <f>SUM(E59:H59)</f>
        <v/>
      </c>
      <c r="J59" s="404" t="n"/>
      <c r="K59" s="404" t="n"/>
      <c r="L59" s="418" t="n"/>
      <c r="M59" s="419">
        <f>HYPERLINK("https://github.com/mostafa-saad/MyCompetitiveProgramming/blob/master/UVA/UVA_10484.txt","Sol to read")</f>
        <v/>
      </c>
    </row>
    <row r="60" ht="15.75" customHeight="1" s="279">
      <c r="A60" s="437" t="n"/>
      <c r="B60" s="437" t="inlineStr">
        <is>
          <t>SRM436-D2-500</t>
        </is>
      </c>
      <c r="C60" s="433" t="n"/>
      <c r="D60" s="418" t="n"/>
      <c r="E60" s="418" t="n"/>
      <c r="F60" s="418" t="n"/>
      <c r="G60" s="418" t="n"/>
      <c r="H60" s="418" t="n"/>
      <c r="I60" s="404">
        <f>SUM(E60:H60)</f>
        <v/>
      </c>
      <c r="J60" s="404" t="n"/>
      <c r="K60" s="404" t="n"/>
      <c r="L60" s="418" t="n"/>
      <c r="M60" s="295" t="n"/>
    </row>
    <row r="61" ht="15.75" customHeight="1" s="279">
      <c r="A61" s="437" t="n"/>
      <c r="B61" s="438">
        <f>HYPERLINK("http://codeforces.com/contest/975/problem/C","CF975-D2-C")</f>
        <v/>
      </c>
      <c r="C61" s="433" t="n"/>
      <c r="D61" s="418" t="n"/>
      <c r="E61" s="418" t="n"/>
      <c r="F61" s="418" t="n"/>
      <c r="G61" s="418" t="n"/>
      <c r="H61" s="418" t="n"/>
      <c r="I61" s="404">
        <f>SUM(E61:H61)</f>
        <v/>
      </c>
      <c r="J61" s="404" t="n"/>
      <c r="K61" s="404" t="n"/>
      <c r="L61" s="418" t="n"/>
      <c r="M61" s="295" t="n"/>
    </row>
    <row r="62" ht="15.75" customHeight="1" s="279">
      <c r="A62" s="437" t="n"/>
      <c r="B62" s="438">
        <f>HYPERLINK("http://codeforces.com/contest/1047/problem/C","CF1047-D2-C")</f>
        <v/>
      </c>
      <c r="C62" s="433" t="n"/>
      <c r="D62" s="418" t="n"/>
      <c r="E62" s="418" t="n"/>
      <c r="F62" s="418" t="n"/>
      <c r="G62" s="418" t="n"/>
      <c r="H62" s="418" t="n"/>
      <c r="I62" s="404">
        <f>SUM(E62:H62)</f>
        <v/>
      </c>
      <c r="J62" s="404" t="n"/>
      <c r="K62" s="404" t="n"/>
      <c r="L62" s="418" t="n"/>
      <c r="M62" s="295" t="n"/>
    </row>
    <row r="63" ht="15.75" customHeight="1" s="279">
      <c r="A63" s="437" t="n"/>
      <c r="B63" s="438">
        <f>HYPERLINK("http://codeforces.com/contest/1075/problem/C","CF1075-D2-C")</f>
        <v/>
      </c>
      <c r="C63" s="433" t="n"/>
      <c r="D63" s="418" t="n"/>
      <c r="E63" s="418" t="n"/>
      <c r="F63" s="418" t="n"/>
      <c r="G63" s="418" t="n"/>
      <c r="H63" s="418" t="n"/>
      <c r="I63" s="404">
        <f>SUM(E63:H63)</f>
        <v/>
      </c>
      <c r="J63" s="404" t="n"/>
      <c r="K63" s="404" t="n"/>
      <c r="L63" s="418" t="n"/>
      <c r="M63" s="295" t="n"/>
    </row>
    <row r="64" ht="15.75" customHeight="1" s="279">
      <c r="A64" s="437" t="n"/>
      <c r="B64" s="438">
        <f>HYPERLINK("http://codeforces.com/contest/758/problem/C","CF758-D2-C")</f>
        <v/>
      </c>
      <c r="C64" s="433" t="n"/>
      <c r="D64" s="418" t="n"/>
      <c r="E64" s="418" t="n"/>
      <c r="F64" s="418" t="n"/>
      <c r="G64" s="418" t="n"/>
      <c r="H64" s="418" t="n"/>
      <c r="I64" s="404">
        <f>SUM(E64:H64)</f>
        <v/>
      </c>
      <c r="J64" s="404" t="n"/>
      <c r="K64" s="404" t="n"/>
      <c r="L64" s="418" t="n"/>
      <c r="M64" s="295" t="n"/>
    </row>
    <row r="65" ht="15.75" customHeight="1" s="279">
      <c r="A65" s="437" t="n"/>
      <c r="B65" s="317" t="inlineStr">
        <is>
          <t>UVA 10525</t>
        </is>
      </c>
      <c r="C65" s="433" t="n"/>
      <c r="D65" s="418" t="n"/>
      <c r="E65" s="418" t="n"/>
      <c r="F65" s="418" t="n"/>
      <c r="G65" s="418" t="n"/>
      <c r="H65" s="418" t="n"/>
      <c r="I65" s="404">
        <f>SUM(E65:H65)</f>
        <v/>
      </c>
      <c r="J65" s="404" t="n"/>
      <c r="K65" s="404" t="n"/>
      <c r="L65" s="418" t="n"/>
      <c r="M65" s="419">
        <f>HYPERLINK("https://www.youtube.com/watch?v=MR5APvYis-o&amp;feature=youtu.be","Video Sol. Also solvable in 2 other ways.")</f>
        <v/>
      </c>
    </row>
    <row r="66" ht="15.75" customHeight="1" s="279">
      <c r="A66" s="295" t="n"/>
      <c r="B66" s="295" t="n"/>
      <c r="C66" s="433" t="n"/>
      <c r="D66" s="418" t="n"/>
      <c r="E66" s="418" t="n"/>
      <c r="F66" s="418" t="n"/>
      <c r="G66" s="418" t="n"/>
      <c r="H66" s="418" t="n"/>
      <c r="I66" s="404">
        <f>SUM(E66:H66)</f>
        <v/>
      </c>
      <c r="J66" s="404" t="n"/>
      <c r="K66" s="404" t="n"/>
      <c r="L66" s="418" t="n"/>
      <c r="M66" s="295" t="n"/>
    </row>
    <row r="67" ht="15.75" customHeight="1" s="279">
      <c r="A67" s="295" t="inlineStr">
        <is>
          <t>Prime Permutation</t>
        </is>
      </c>
      <c r="B67" s="417">
        <f>HYPERLINK("http://codeforces.com/contest/124/problem/C","CF124-D2-C")</f>
        <v/>
      </c>
      <c r="C67" s="433" t="n"/>
      <c r="D67" s="418" t="n"/>
      <c r="E67" s="418" t="n"/>
      <c r="F67" s="418" t="n"/>
      <c r="G67" s="418" t="n"/>
      <c r="H67" s="418" t="n"/>
      <c r="I67" s="404">
        <f>SUM(E67:H67)</f>
        <v/>
      </c>
      <c r="J67" s="295" t="n"/>
      <c r="K67" s="295" t="n"/>
      <c r="L67" s="295" t="n"/>
      <c r="M67" s="295" t="n"/>
    </row>
    <row r="68" ht="15.75" customHeight="1" s="279">
      <c r="A68" s="295" t="inlineStr">
        <is>
          <t>Hometask</t>
        </is>
      </c>
      <c r="B68" s="417">
        <f>HYPERLINK("http://codeforces.com/contest/155/problem/C","CF155-D2-C")</f>
        <v/>
      </c>
      <c r="C68" s="433" t="n"/>
      <c r="D68" s="418" t="n"/>
      <c r="E68" s="418" t="n"/>
      <c r="F68" s="418" t="n"/>
      <c r="G68" s="418" t="n"/>
      <c r="H68" s="418" t="n"/>
      <c r="I68" s="404">
        <f>SUM(E68:H68)</f>
        <v/>
      </c>
      <c r="J68" s="295" t="n"/>
      <c r="K68" s="295" t="n"/>
      <c r="L68" s="295" t="n"/>
      <c r="M68" s="295" t="n"/>
    </row>
    <row r="69" ht="15.75" customHeight="1" s="279">
      <c r="A69" s="304" t="inlineStr">
        <is>
          <t>Terse princess</t>
        </is>
      </c>
      <c r="B69" s="474">
        <f>HYPERLINK("http://codeforces.com/contest/148/problem/C","CF148-D2-C")</f>
        <v/>
      </c>
      <c r="C69" s="433" t="n"/>
      <c r="D69" s="418" t="n"/>
      <c r="E69" s="418" t="n"/>
      <c r="F69" s="418" t="n"/>
      <c r="G69" s="418" t="n"/>
      <c r="H69" s="418" t="n"/>
      <c r="I69" s="404">
        <f>SUM(E69:H69)</f>
        <v/>
      </c>
      <c r="J69" s="404" t="n"/>
      <c r="K69" s="404" t="n"/>
      <c r="L69" s="418" t="n"/>
      <c r="M69" s="419">
        <f>HYPERLINK("https://www.youtube.com/watch?v=BX2HhPefv6g","Video Solution - Eng Mohamed Nasser")</f>
        <v/>
      </c>
    </row>
    <row r="70" ht="15.75" customHeight="1" s="279">
      <c r="A70" s="304" t="inlineStr">
        <is>
          <t>Hacking Cypher</t>
        </is>
      </c>
      <c r="B70" s="474">
        <f>HYPERLINK("http://codeforces.com/contest/490/problem/C","CF490-D2-C")</f>
        <v/>
      </c>
      <c r="C70" s="433" t="n"/>
      <c r="D70" s="418" t="n"/>
      <c r="E70" s="418" t="n"/>
      <c r="F70" s="418" t="n"/>
      <c r="G70" s="418" t="n"/>
      <c r="H70" s="418" t="n"/>
      <c r="I70" s="404">
        <f>SUM(E70:H70)</f>
        <v/>
      </c>
      <c r="J70" s="404" t="n"/>
      <c r="K70" s="404" t="n"/>
      <c r="L70" s="418" t="n"/>
      <c r="M70" s="295" t="n"/>
    </row>
    <row r="71" ht="15.75" customHeight="1" s="279">
      <c r="A71" s="304" t="inlineStr">
        <is>
          <t>Dreamoon and Sums</t>
        </is>
      </c>
      <c r="B71" s="474">
        <f>HYPERLINK("http://codeforces.com/contest/476/problem/C","CF476-D2-C")</f>
        <v/>
      </c>
      <c r="C71" s="433" t="n"/>
      <c r="D71" s="418" t="n"/>
      <c r="E71" s="418" t="n"/>
      <c r="F71" s="418" t="n"/>
      <c r="G71" s="418" t="n"/>
      <c r="H71" s="418" t="n"/>
      <c r="I71" s="404">
        <f>SUM(E71:H71)</f>
        <v/>
      </c>
      <c r="J71" s="404" t="n"/>
      <c r="K71" s="404" t="n"/>
      <c r="L71" s="418" t="n"/>
      <c r="M71" s="419">
        <f>HYPERLINK("https://www.youtube.com/watch?v=KS9POnQMfmY","Video Solution - Dr Mostafa Saad")</f>
        <v/>
      </c>
    </row>
    <row r="72" ht="15.75" customHeight="1" s="279">
      <c r="A72" s="304" t="inlineStr">
        <is>
          <t>Try and Catch</t>
        </is>
      </c>
      <c r="B72" s="474">
        <f>HYPERLINK("http://codeforces.com/contest/195/problem/C","CF195-D2-C")</f>
        <v/>
      </c>
      <c r="C72" s="433" t="n"/>
      <c r="D72" s="418" t="n"/>
      <c r="E72" s="418" t="n"/>
      <c r="F72" s="418" t="n"/>
      <c r="G72" s="418" t="n"/>
      <c r="H72" s="418" t="n"/>
      <c r="I72" s="404">
        <f>SUM(E72:H72)</f>
        <v/>
      </c>
      <c r="J72" s="404" t="n"/>
      <c r="K72" s="404" t="n"/>
      <c r="L72" s="418" t="n"/>
      <c r="M72" s="419">
        <f>HYPERLINK("https://github.com/mostafa-saad/MyCompetitiveProgramming/blob/master/Codeforces/CF195-D2-C-Ahmed%20Osama.pdf","Editorial - Eng Ahmed Osama")</f>
        <v/>
      </c>
    </row>
    <row r="73" ht="15.75" customHeight="1" s="279">
      <c r="A73" s="295" t="inlineStr">
        <is>
          <t>Primes or Palindromes?</t>
        </is>
      </c>
      <c r="B73" s="417">
        <f>HYPERLINK("http://codeforces.com/contest/569/problem/C","CF569-D2-C")</f>
        <v/>
      </c>
      <c r="C73" s="433" t="n"/>
      <c r="D73" s="418" t="n"/>
      <c r="E73" s="418" t="n"/>
      <c r="F73" s="418" t="n"/>
      <c r="G73" s="418" t="n"/>
      <c r="H73" s="418" t="n"/>
      <c r="I73" s="404">
        <f>SUM(E73:H73)</f>
        <v/>
      </c>
      <c r="J73" s="404" t="n"/>
      <c r="K73" s="404" t="n"/>
      <c r="L73" s="295" t="n"/>
      <c r="M73" s="295" t="n"/>
    </row>
    <row r="74" ht="15.75" customHeight="1" s="279">
      <c r="A74" s="304" t="inlineStr">
        <is>
          <t>View Angle</t>
        </is>
      </c>
      <c r="B74" s="474">
        <f>HYPERLINK("http://codeforces.com/contest/257/problem/C","CF257-D2-C")</f>
        <v/>
      </c>
      <c r="C74" s="433" t="n"/>
      <c r="D74" s="418" t="n"/>
      <c r="E74" s="418" t="n"/>
      <c r="F74" s="418" t="n"/>
      <c r="G74" s="418" t="n"/>
      <c r="H74" s="418" t="n"/>
      <c r="I74" s="404">
        <f>SUM(E74:H74)</f>
        <v/>
      </c>
      <c r="J74" s="404" t="n"/>
      <c r="K74" s="404" t="n"/>
      <c r="L74" s="418" t="n"/>
      <c r="M74" s="419">
        <f>HYPERLINK("https://github.com/mostafa-saad/MyCompetitiveProgramming/blob/master/Codeforces/CF257-D2-C-AhmedOsama.pdf","Editorial - Eng Ahmed Osama")</f>
        <v/>
      </c>
    </row>
    <row r="75" ht="15.75" customHeight="1" s="279">
      <c r="A75" s="482" t="inlineStr">
        <is>
          <t>Little Pony and Sort by Shift</t>
        </is>
      </c>
      <c r="B75" s="318">
        <f>HYPERLINK("http://codeforces.com/contest/454/problem/B","CF454-D2-B")</f>
        <v/>
      </c>
      <c r="C75" s="433" t="n"/>
      <c r="D75" s="418" t="n"/>
      <c r="E75" s="418" t="n"/>
      <c r="F75" s="418" t="n"/>
      <c r="G75" s="418" t="n"/>
      <c r="H75" s="418" t="n"/>
      <c r="I75" s="404">
        <f>SUM(E75:H75)</f>
        <v/>
      </c>
      <c r="J75" s="404" t="n"/>
      <c r="K75" s="404" t="n"/>
      <c r="L75" s="418" t="n"/>
      <c r="M75" s="295" t="n"/>
    </row>
    <row r="76" ht="15.75" customHeight="1" s="279">
      <c r="A76" s="295" t="n"/>
      <c r="B76" s="295" t="n"/>
      <c r="C76" s="433" t="n"/>
      <c r="D76" s="418" t="n"/>
      <c r="E76" s="418" t="n"/>
      <c r="F76" s="418" t="n"/>
      <c r="G76" s="418" t="n"/>
      <c r="H76" s="418" t="n"/>
      <c r="I76" s="404">
        <f>SUM(E76:H76)</f>
        <v/>
      </c>
      <c r="J76" s="404" t="n"/>
      <c r="K76" s="404" t="n"/>
      <c r="L76" s="418" t="n"/>
      <c r="M76" s="458">
        <f>HYPERLINK("https://www.youtube.com/watch?v=uKSLJw0ZUd8","Watch - Thinking - Error Inspection - History - Contest Strategy ")</f>
        <v/>
      </c>
    </row>
    <row r="77" ht="15.75" customHeight="1" s="279">
      <c r="A77" s="295" t="n"/>
      <c r="B77" s="295" t="n"/>
      <c r="C77" s="433" t="n"/>
      <c r="D77" s="418" t="n"/>
      <c r="E77" s="418" t="n"/>
      <c r="F77" s="418" t="n"/>
      <c r="G77" s="418" t="n"/>
      <c r="H77" s="418" t="n"/>
      <c r="I77" s="404">
        <f>SUM(E77:H77)</f>
        <v/>
      </c>
      <c r="J77" s="404" t="n"/>
      <c r="K77" s="404" t="n"/>
      <c r="L77" s="418" t="n"/>
      <c r="M77" s="458">
        <f>HYPERLINK("https://www.youtube.com/watch?v=s3IGwpJwCTA","Watch - DP - Building Output")</f>
        <v/>
      </c>
    </row>
    <row r="78" ht="15.75" customHeight="1" s="279">
      <c r="A78" s="432" t="inlineStr">
        <is>
          <t>Unidirectional TSP</t>
        </is>
      </c>
      <c r="B78" s="316">
        <f>HYPERLINK("https://uva.onlinejudge.org/index.php?option=com_onlinejudge&amp;Itemid=8&amp;page=show_problem&amp;problem=52","UVA 116")</f>
        <v/>
      </c>
      <c r="C78" s="433" t="n"/>
      <c r="D78" s="418" t="n"/>
      <c r="E78" s="418" t="n"/>
      <c r="F78" s="418" t="n"/>
      <c r="G78" s="418" t="n"/>
      <c r="H78" s="418" t="n"/>
      <c r="I78" s="404">
        <f>SUM(E78:H78)</f>
        <v/>
      </c>
      <c r="J78" s="404" t="n"/>
      <c r="K78" s="404" t="n"/>
      <c r="L78" s="295" t="n"/>
      <c r="M78" s="295" t="n"/>
    </row>
    <row r="79" ht="15.75" customHeight="1" s="279">
      <c r="A79" s="432" t="inlineStr">
        <is>
          <t>Make Palindrome</t>
        </is>
      </c>
      <c r="B79" s="316">
        <f>HYPERLINK("https://uva.onlinejudge.org/index.php?option=com_onlinejudge&amp;Itemid=8&amp;page=show_problem&amp;problem=1394","UVA 10453")</f>
        <v/>
      </c>
      <c r="C79" s="433" t="n"/>
      <c r="D79" s="418" t="n"/>
      <c r="E79" s="418" t="n"/>
      <c r="F79" s="418" t="n"/>
      <c r="G79" s="418" t="n"/>
      <c r="H79" s="418" t="n"/>
      <c r="I79" s="404">
        <f>SUM(E79:H79)</f>
        <v/>
      </c>
      <c r="J79" s="404" t="n"/>
      <c r="K79" s="404" t="n"/>
      <c r="L79" s="418" t="n"/>
      <c r="M79" s="474">
        <f>HYPERLINK("https://github.com/ilyesG/Competitive-Programming/blob/master/UVA/UVA%2010453.cpp","Sol")</f>
        <v/>
      </c>
    </row>
    <row r="80" ht="15.75" customHeight="1" s="279">
      <c r="A80" s="432" t="inlineStr">
        <is>
          <t>Fast Food</t>
        </is>
      </c>
      <c r="B80" s="316">
        <f>HYPERLINK("https://uva.onlinejudge.org/index.php?option=com_onlinejudge&amp;Itemid=8&amp;page=show_problem&amp;problem=603","UVA 662")</f>
        <v/>
      </c>
      <c r="C80" s="433" t="n"/>
      <c r="D80" s="418" t="n"/>
      <c r="E80" s="418" t="n"/>
      <c r="F80" s="418" t="n"/>
      <c r="G80" s="418" t="n"/>
      <c r="H80" s="418" t="n"/>
      <c r="I80" s="404">
        <f>SUM(E80:H80)</f>
        <v/>
      </c>
      <c r="J80" s="404" t="n"/>
      <c r="K80" s="404" t="n"/>
      <c r="L80" s="418" t="n"/>
      <c r="M80" s="295" t="n"/>
    </row>
    <row r="81" ht="15.75" customHeight="1" s="279">
      <c r="A81" s="432" t="inlineStr">
        <is>
          <t>Palindromic Subsequence</t>
        </is>
      </c>
      <c r="B81" s="316">
        <f>HYPERLINK("https://uva.onlinejudge.org/index.php?option=onlinejudge&amp;page=show_problem&amp;problem=2399","UVA 11404")</f>
        <v/>
      </c>
      <c r="C81" s="433" t="n"/>
      <c r="D81" s="418" t="n"/>
      <c r="E81" s="418" t="n"/>
      <c r="F81" s="418" t="n"/>
      <c r="G81" s="418" t="n"/>
      <c r="H81" s="418" t="n"/>
      <c r="I81" s="404">
        <f>SUM(E81:H81)</f>
        <v/>
      </c>
      <c r="J81" s="404" t="n"/>
      <c r="K81" s="404" t="n"/>
      <c r="L81" s="418" t="n"/>
      <c r="M81" s="295" t="n"/>
    </row>
    <row r="82" ht="15.75" customHeight="1" s="279">
      <c r="A82" s="432" t="inlineStr">
        <is>
          <t>Gone Fishing</t>
        </is>
      </c>
      <c r="B82" s="316">
        <f>HYPERLINK("https://uva.onlinejudge.org/index.php?option=com_onlinejudge&amp;Itemid=8&amp;page=show_problem&amp;problem=698","UVA 757")</f>
        <v/>
      </c>
      <c r="C82" s="433" t="n"/>
      <c r="D82" s="418" t="n"/>
      <c r="E82" s="418" t="n"/>
      <c r="F82" s="418" t="n"/>
      <c r="G82" s="418" t="n"/>
      <c r="H82" s="418" t="n"/>
      <c r="I82" s="404">
        <f>SUM(E82:H82)</f>
        <v/>
      </c>
      <c r="J82" s="404" t="n"/>
      <c r="K82" s="404" t="n"/>
      <c r="L82" s="418" t="n"/>
      <c r="M82" s="419">
        <f>HYPERLINK("https://github.com/magdy-hasan/competitive-programming/blob/master/uva-/uva%20757%20-%20Gone%20Fishing.cpp","Sol to read")</f>
        <v/>
      </c>
    </row>
    <row r="83" ht="15.75" customHeight="1" s="279">
      <c r="A83" s="437" t="inlineStr">
        <is>
          <t>Special Olympics</t>
        </is>
      </c>
      <c r="B83" s="438">
        <f>HYPERLINK("http://codeforces.com/contest/199/problem/B","CF199-D2-B")</f>
        <v/>
      </c>
      <c r="C83" s="433" t="n"/>
      <c r="D83" s="418" t="n"/>
      <c r="E83" s="418" t="n"/>
      <c r="F83" s="418" t="n"/>
      <c r="G83" s="418" t="n"/>
      <c r="H83" s="418" t="n"/>
      <c r="I83" s="404">
        <f>SUM(E83:H83)</f>
        <v/>
      </c>
      <c r="J83" s="404" t="n"/>
      <c r="K83" s="404" t="n"/>
      <c r="L83" s="418" t="n"/>
      <c r="M83" s="295" t="n"/>
    </row>
    <row r="84" ht="15.75" customHeight="1" s="279">
      <c r="A84" s="437" t="inlineStr">
        <is>
          <t>Rings and Glue</t>
        </is>
      </c>
      <c r="B84" s="438">
        <f>HYPERLINK("https://uva.onlinejudge.org/index.php?option=onlinejudge&amp;page=show_problem&amp;problem=1242","UVA 10301")</f>
        <v/>
      </c>
      <c r="C84" s="433" t="n"/>
      <c r="D84" s="418" t="n"/>
      <c r="E84" s="418" t="n"/>
      <c r="F84" s="418" t="n"/>
      <c r="G84" s="418" t="n"/>
      <c r="H84" s="418" t="n"/>
      <c r="I84" s="404">
        <f>SUM(E84:H84)</f>
        <v/>
      </c>
      <c r="J84" s="404" t="n"/>
      <c r="K84" s="404" t="n"/>
      <c r="L84" s="418" t="n"/>
      <c r="M84" s="474">
        <f>HYPERLINK("https://github.com/MeGaCrazy/CompetitiveProgramming/blob/51252e18803855ed2eacedc50f53b90fe8d184e6/UVA/UVA_10301.cpp","Sol")</f>
        <v/>
      </c>
    </row>
    <row r="85" ht="15.75" customHeight="1" s="279">
      <c r="A85" s="295" t="n"/>
      <c r="B85" s="295" t="n"/>
      <c r="C85" s="433" t="n"/>
      <c r="D85" s="418" t="n"/>
      <c r="E85" s="418" t="n"/>
      <c r="F85" s="418" t="n"/>
      <c r="G85" s="418" t="n"/>
      <c r="H85" s="418" t="n"/>
      <c r="I85" s="404">
        <f>SUM(E85:H85)</f>
        <v/>
      </c>
      <c r="J85" s="404" t="n"/>
      <c r="K85" s="404" t="n"/>
      <c r="L85" s="418" t="n"/>
      <c r="M85" s="458">
        <f>HYPERLINK("https://www.youtube.com/watch?v=lE09Ss_Sy0A","Watch - DP - Counting")</f>
        <v/>
      </c>
    </row>
    <row r="86" ht="15.75" customHeight="1" s="279">
      <c r="A86" s="432" t="inlineStr">
        <is>
          <t>k-Tree</t>
        </is>
      </c>
      <c r="B86" s="462">
        <f>HYPERLINK("http://codeforces.com/contest/431/problem/C","CF431-D2-C")</f>
        <v/>
      </c>
      <c r="C86" s="433" t="n"/>
      <c r="D86" s="418" t="n"/>
      <c r="E86" s="418" t="n"/>
      <c r="F86" s="418" t="n"/>
      <c r="G86" s="418" t="n"/>
      <c r="H86" s="418" t="n"/>
      <c r="I86" s="404">
        <f>SUM(E86:H86)</f>
        <v/>
      </c>
      <c r="J86" s="404" t="n"/>
      <c r="K86" s="404" t="n"/>
      <c r="L86" s="295" t="n"/>
      <c r="M86" s="419">
        <f>HYPERLINK("https://www.youtube.com/watch?v=M7UEOmsCxuQ","Video Solution - Solver to be (Java)")</f>
        <v/>
      </c>
    </row>
    <row r="87" ht="15.75" customHeight="1" s="279">
      <c r="A87" s="432" t="inlineStr">
        <is>
          <t>Caesar's Legions</t>
        </is>
      </c>
      <c r="B87" s="462">
        <f>HYPERLINK("http://codeforces.com/contest/118/problem/D","CF118-D2-D")</f>
        <v/>
      </c>
      <c r="C87" s="433" t="n"/>
      <c r="D87" s="418" t="n"/>
      <c r="E87" s="418" t="n"/>
      <c r="F87" s="418" t="n"/>
      <c r="G87" s="418" t="n"/>
      <c r="H87" s="418" t="n"/>
      <c r="I87" s="404">
        <f>SUM(E87:H87)</f>
        <v/>
      </c>
      <c r="J87" s="404" t="n"/>
      <c r="K87" s="404" t="n"/>
      <c r="L87" s="418" t="n"/>
      <c r="M87" s="315" t="n"/>
    </row>
    <row r="88" ht="15.75" customHeight="1" s="279">
      <c r="A88" s="462">
        <f>HYPERLINK("https://community.topcoder.com/stat?c=problem_statement&amp;pm=4471&amp;rd=10711","UnsealTheSafe")</f>
        <v/>
      </c>
      <c r="B88" s="432" t="inlineStr">
        <is>
          <t>SRM354-D2-1000</t>
        </is>
      </c>
      <c r="C88" s="433" t="n"/>
      <c r="D88" s="418" t="n"/>
      <c r="E88" s="418" t="n"/>
      <c r="F88" s="418" t="n"/>
      <c r="G88" s="418" t="n"/>
      <c r="H88" s="418" t="n"/>
      <c r="I88" s="404">
        <f>SUM(E88:H88)</f>
        <v/>
      </c>
      <c r="J88" s="404" t="n"/>
      <c r="K88" s="404" t="n"/>
      <c r="L88" s="418" t="n"/>
      <c r="M88" s="315" t="n"/>
    </row>
    <row r="89" ht="15.75" customHeight="1" s="279">
      <c r="A89" s="462">
        <f>HYPERLINK("https://community.topcoder.com/stat?c=problem_statement&amp;pm=7601&amp;rd=10673","DiceGames")</f>
        <v/>
      </c>
      <c r="B89" s="432" t="inlineStr">
        <is>
          <t>SRM349-D1-500</t>
        </is>
      </c>
      <c r="C89" s="433" t="n"/>
      <c r="D89" s="418" t="n"/>
      <c r="E89" s="418" t="n"/>
      <c r="F89" s="418" t="n"/>
      <c r="G89" s="418" t="n"/>
      <c r="H89" s="418" t="n"/>
      <c r="I89" s="404">
        <f>SUM(E89:H89)</f>
        <v/>
      </c>
      <c r="J89" s="295" t="n"/>
      <c r="K89" s="295" t="n"/>
      <c r="L89" s="295" t="n"/>
      <c r="M89" s="295" t="n"/>
    </row>
    <row r="90" ht="15.75" customHeight="1" s="279">
      <c r="A90" s="438" t="n"/>
      <c r="B90" s="437" t="inlineStr">
        <is>
          <t>SPOJ TWINSNOW</t>
        </is>
      </c>
      <c r="C90" s="433" t="n"/>
      <c r="D90" s="418" t="n"/>
      <c r="E90" s="418" t="n"/>
      <c r="F90" s="418" t="n"/>
      <c r="G90" s="418" t="n"/>
      <c r="H90" s="418" t="n"/>
      <c r="I90" s="404">
        <f>SUM(E90:H90)</f>
        <v/>
      </c>
      <c r="J90" s="404" t="n"/>
      <c r="K90" s="404" t="n"/>
      <c r="L90" s="418" t="n"/>
      <c r="M90" s="474">
        <f>HYPERLINK("https://github.com/mostafa-saad/MyCompetitiveProgramming/blob/master/SPOJ/SPOJ_TWINSNOW.txt","Sol - text clarification")</f>
        <v/>
      </c>
    </row>
    <row r="91" ht="15.75" customHeight="1" s="279">
      <c r="A91" s="438" t="n"/>
      <c r="B91" s="437" t="inlineStr">
        <is>
          <t>SPOJ FACENEMY</t>
        </is>
      </c>
      <c r="C91" s="433" t="n"/>
      <c r="D91" s="418" t="n"/>
      <c r="E91" s="418" t="n"/>
      <c r="F91" s="418" t="n"/>
      <c r="G91" s="418" t="n"/>
      <c r="H91" s="418" t="n"/>
      <c r="I91" s="404">
        <f>SUM(E91:H91)</f>
        <v/>
      </c>
      <c r="J91" s="404" t="n"/>
      <c r="K91" s="404" t="n"/>
      <c r="L91" s="418" t="n"/>
      <c r="M91" s="474">
        <f>HYPERLINK("https://github.com/mostafa-saad/MyCompetitiveProgramming/blob/master/SPOJ/SPOJ_FACENEMY.txt","Sol")</f>
        <v/>
      </c>
    </row>
    <row r="92" ht="15.75" customHeight="1" s="279">
      <c r="A92" s="295" t="n"/>
      <c r="B92" s="295" t="n"/>
      <c r="C92" s="433" t="n"/>
      <c r="D92" s="418" t="n"/>
      <c r="E92" s="418" t="n"/>
      <c r="F92" s="418" t="n"/>
      <c r="G92" s="418" t="n"/>
      <c r="H92" s="418" t="n"/>
      <c r="I92" s="404">
        <f>SUM(E92:H92)</f>
        <v/>
      </c>
      <c r="J92" s="404" t="n"/>
      <c r="K92" s="404" t="n"/>
      <c r="L92" s="418" t="n"/>
      <c r="M92" s="315" t="n"/>
    </row>
    <row r="93" ht="15.75" customHeight="1" s="279">
      <c r="A93" s="295" t="inlineStr">
        <is>
          <t>No to Palindromes!</t>
        </is>
      </c>
      <c r="B93" s="417">
        <f>HYPERLINK("http://codeforces.com/contest/465/problem/C","CF465-D2-C")</f>
        <v/>
      </c>
      <c r="C93" s="433" t="n"/>
      <c r="D93" s="418" t="n"/>
      <c r="E93" s="418" t="n"/>
      <c r="F93" s="418" t="n"/>
      <c r="G93" s="418" t="n"/>
      <c r="H93" s="418" t="n"/>
      <c r="I93" s="404">
        <f>SUM(E93:H93)</f>
        <v/>
      </c>
      <c r="J93" s="295" t="n"/>
      <c r="K93" s="295" t="n"/>
      <c r="L93" s="295" t="n"/>
      <c r="M93" s="295" t="n"/>
    </row>
    <row r="94" ht="15.75" customHeight="1" s="279">
      <c r="A94" s="295" t="inlineStr">
        <is>
          <t>Triangle</t>
        </is>
      </c>
      <c r="B94" s="417">
        <f>HYPERLINK("http://codeforces.com/contest/408/problem/C","CF408-D2-C")</f>
        <v/>
      </c>
      <c r="C94" s="433" t="n"/>
      <c r="D94" s="418" t="n"/>
      <c r="E94" s="418" t="n"/>
      <c r="F94" s="418" t="n"/>
      <c r="G94" s="418" t="n"/>
      <c r="H94" s="418" t="n"/>
      <c r="I94" s="404">
        <f>SUM(E94:H94)</f>
        <v/>
      </c>
      <c r="J94" s="295" t="n"/>
      <c r="K94" s="295" t="n"/>
      <c r="L94" s="295" t="n"/>
      <c r="M94" s="295" t="n"/>
    </row>
    <row r="95" ht="15.75" customHeight="1" s="279">
      <c r="A95" s="295" t="inlineStr">
        <is>
          <t>To Add or Not to Add</t>
        </is>
      </c>
      <c r="B95" s="417">
        <f>HYPERLINK("http://codeforces.com/contest/231/problem/C","CF231-D2-C")</f>
        <v/>
      </c>
      <c r="C95" s="433" t="n"/>
      <c r="D95" s="418" t="n"/>
      <c r="E95" s="418" t="n"/>
      <c r="F95" s="418" t="n"/>
      <c r="G95" s="418" t="n"/>
      <c r="H95" s="418" t="n"/>
      <c r="I95" s="404">
        <f>SUM(E95:H95)</f>
        <v/>
      </c>
      <c r="J95" s="295" t="n"/>
      <c r="K95" s="295" t="n"/>
      <c r="L95" s="295" t="n"/>
      <c r="M95" s="295" t="n"/>
    </row>
    <row r="96" ht="15.75" customHeight="1" s="279">
      <c r="A96" s="420" t="inlineStr">
        <is>
          <t>Number of Ways</t>
        </is>
      </c>
      <c r="B96" s="421">
        <f>HYPERLINK("http://codeforces.com/contest/466/problem/C","CF466-D2-C")</f>
        <v/>
      </c>
      <c r="C96" s="433" t="n"/>
      <c r="D96" s="418" t="n"/>
      <c r="E96" s="418" t="n"/>
      <c r="F96" s="418" t="n"/>
      <c r="G96" s="418" t="n"/>
      <c r="H96" s="418" t="n"/>
      <c r="I96" s="404">
        <f>SUM(E96:H96)</f>
        <v/>
      </c>
      <c r="J96" s="404" t="n"/>
      <c r="K96" s="404" t="n"/>
      <c r="L96" s="418" t="n"/>
      <c r="M96" s="419">
        <f>HYPERLINK("https://www.youtube.com/watch?v=8G06-YDc2-I","Video Solution - Solver to be (Java)")</f>
        <v/>
      </c>
    </row>
    <row r="97" ht="15.75" customHeight="1" s="279">
      <c r="A97" s="304" t="inlineStr">
        <is>
          <t>Queue</t>
        </is>
      </c>
      <c r="B97" s="474">
        <f>HYPERLINK("http://codeforces.com/contest/141/problem/C","CF141-D2-C")</f>
        <v/>
      </c>
      <c r="C97" s="433" t="n"/>
      <c r="D97" s="418" t="n"/>
      <c r="E97" s="418" t="n"/>
      <c r="F97" s="418" t="n"/>
      <c r="G97" s="418" t="n"/>
      <c r="H97" s="418" t="n"/>
      <c r="I97" s="404">
        <f>SUM(E97:H97)</f>
        <v/>
      </c>
      <c r="J97" s="404" t="n"/>
      <c r="K97" s="404" t="n"/>
      <c r="L97" s="418" t="n"/>
      <c r="M97" s="295" t="n"/>
    </row>
    <row r="98" ht="15.75" customHeight="1" s="279">
      <c r="A98" s="304" t="inlineStr">
        <is>
          <t>Magical Boxes</t>
        </is>
      </c>
      <c r="B98" s="474">
        <f>HYPERLINK("http://codeforces.com/contest/270/problem/C","CF270-D2-C")</f>
        <v/>
      </c>
      <c r="C98" s="433" t="inlineStr">
        <is>
          <t>AC</t>
        </is>
      </c>
      <c r="D98" s="418" t="n">
        <v>2</v>
      </c>
      <c r="E98" s="418" t="n">
        <v>5</v>
      </c>
      <c r="F98" s="418" t="n">
        <v>20</v>
      </c>
      <c r="G98" s="418" t="n">
        <v>15</v>
      </c>
      <c r="H98" s="418" t="n"/>
      <c r="I98" s="404">
        <f>SUM(E98:H98)</f>
        <v/>
      </c>
      <c r="J98" s="404" t="n"/>
      <c r="K98" s="404" t="inlineStr">
        <is>
          <t>NO</t>
        </is>
      </c>
      <c r="L98" s="433" t="inlineStr">
        <is>
          <t>MATH</t>
        </is>
      </c>
      <c r="M98" s="295" t="inlineStr">
        <is>
          <t xml:space="preserve">come again for binay search </t>
        </is>
      </c>
    </row>
    <row r="99" ht="15.75" customHeight="1" s="279">
      <c r="A99" s="304" t="inlineStr">
        <is>
          <t>Find Pair</t>
        </is>
      </c>
      <c r="B99" s="474">
        <f>HYPERLINK("http://codeforces.com/contest/160/problem/C","CF160-D2-C")</f>
        <v/>
      </c>
      <c r="C99" s="433" t="n"/>
      <c r="D99" s="418" t="n"/>
      <c r="E99" s="418" t="n"/>
      <c r="F99" s="418" t="n"/>
      <c r="G99" s="418" t="n"/>
      <c r="H99" s="418" t="n"/>
      <c r="I99" s="404">
        <f>SUM(E99:H99)</f>
        <v/>
      </c>
      <c r="J99" s="404" t="n"/>
      <c r="K99" s="404" t="n"/>
      <c r="L99" s="418" t="n"/>
      <c r="M99" s="295" t="n"/>
    </row>
    <row r="100" ht="15.75" customHeight="1" s="279">
      <c r="A100" s="482" t="inlineStr">
        <is>
          <t>Multitasking</t>
        </is>
      </c>
      <c r="B100" s="318">
        <f>HYPERLINK("http://codeforces.com/contest/384/problem/B","CF384-D2-B")</f>
        <v/>
      </c>
      <c r="C100" s="433" t="n"/>
      <c r="D100" s="418" t="n"/>
      <c r="E100" s="418" t="n"/>
      <c r="F100" s="418" t="n"/>
      <c r="G100" s="418" t="n"/>
      <c r="H100" s="418" t="n"/>
      <c r="I100" s="404">
        <f>SUM(E100:H100)</f>
        <v/>
      </c>
      <c r="J100" s="404" t="n"/>
      <c r="K100" s="404" t="n"/>
      <c r="L100" s="418" t="n"/>
      <c r="M100" s="295" t="n"/>
    </row>
    <row r="101" ht="15.75" customHeight="1" s="279">
      <c r="A101" s="482" t="inlineStr">
        <is>
          <t>Non-square Equation</t>
        </is>
      </c>
      <c r="B101" s="318">
        <f>HYPERLINK("http://codeforces.com/contest/233/problem/B","CF233-D2-B")</f>
        <v/>
      </c>
      <c r="C101" s="433" t="n"/>
      <c r="D101" s="418" t="n"/>
      <c r="E101" s="418" t="n"/>
      <c r="F101" s="418" t="n"/>
      <c r="G101" s="418" t="n"/>
      <c r="H101" s="418" t="n"/>
      <c r="I101" s="404">
        <f>SUM(E101:H101)</f>
        <v/>
      </c>
      <c r="J101" s="404" t="n"/>
      <c r="K101" s="404" t="n"/>
      <c r="L101" s="418" t="n"/>
      <c r="M101" s="295" t="n"/>
    </row>
    <row r="102" ht="15.75" customHeight="1" s="279">
      <c r="A102" s="295" t="n"/>
      <c r="B102" s="295" t="n"/>
      <c r="C102" s="433" t="n"/>
      <c r="D102" s="418" t="n"/>
      <c r="E102" s="418" t="n"/>
      <c r="F102" s="418" t="n"/>
      <c r="G102" s="418" t="n"/>
      <c r="H102" s="418" t="n"/>
      <c r="I102" s="404">
        <f>SUM(E102:H102)</f>
        <v/>
      </c>
      <c r="J102" s="404" t="n"/>
      <c r="K102" s="404" t="n"/>
      <c r="L102" s="418" t="n"/>
      <c r="M102" s="458">
        <f>HYPERLINK("https://www.youtube.com/watch?v=f_lt366qTZc","Watch - Thinking - Let's Put All Together ")</f>
        <v/>
      </c>
    </row>
    <row r="103" ht="15.75" customHeight="1" s="279">
      <c r="A103" s="295" t="n"/>
      <c r="B103" s="295" t="n"/>
      <c r="C103" s="433" t="n"/>
      <c r="D103" s="418" t="n"/>
      <c r="E103" s="418" t="n"/>
      <c r="F103" s="418" t="n"/>
      <c r="G103" s="418" t="n"/>
      <c r="H103" s="418" t="n"/>
      <c r="I103" s="404">
        <f>SUM(E103:H103)</f>
        <v/>
      </c>
      <c r="J103" s="404" t="n"/>
      <c r="K103" s="404" t="n"/>
      <c r="L103" s="418" t="n"/>
      <c r="M103" s="458">
        <f>HYPERLINK("https://www.youtube.com/watch?v=PrXbn8-zw14","Watch - DP - Table Method")</f>
        <v/>
      </c>
    </row>
    <row r="104" ht="15.75" customHeight="1" s="279">
      <c r="A104" s="295" t="n"/>
      <c r="B104" s="295" t="n"/>
      <c r="C104" s="433" t="n"/>
      <c r="D104" s="418" t="n"/>
      <c r="E104" s="418" t="n"/>
      <c r="F104" s="418" t="n"/>
      <c r="G104" s="418" t="n"/>
      <c r="H104" s="418" t="n"/>
      <c r="I104" s="404">
        <f>SUM(E104:H104)</f>
        <v/>
      </c>
      <c r="J104" s="404" t="n"/>
      <c r="K104" s="404" t="n"/>
      <c r="L104" s="418" t="n"/>
      <c r="M104" s="458">
        <f>HYPERLINK("https://www.youtube.com/watch?v=ZIJLCVn4KzQ","Watch - Graph Theory - Floyd Warshal")</f>
        <v/>
      </c>
    </row>
    <row r="105" ht="15.75" customHeight="1" s="279">
      <c r="A105" s="432" t="inlineStr">
        <is>
          <t>Frogger</t>
        </is>
      </c>
      <c r="B105" s="316">
        <f>HYPERLINK("https://uva.onlinejudge.org/index.php?option=com_onlinejudge&amp;Itemid=8&amp;page=show_problem&amp;problem=475","UVA 534")</f>
        <v/>
      </c>
      <c r="C105" s="433" t="n"/>
      <c r="D105" s="418" t="n"/>
      <c r="E105" s="418" t="n"/>
      <c r="F105" s="418" t="n"/>
      <c r="G105" s="418" t="n"/>
      <c r="H105" s="418" t="n"/>
      <c r="I105" s="404">
        <f>SUM(E105:H105)</f>
        <v/>
      </c>
      <c r="J105" s="404" t="n"/>
      <c r="K105" s="404" t="n"/>
      <c r="L105" s="418" t="n"/>
      <c r="M105" s="474">
        <f>HYPERLINK("https://github.com/ilyesG/Competitive-Programming/blob/master/UVA/UVA%20534.cpp","Sol")</f>
        <v/>
      </c>
    </row>
    <row r="106" ht="15.75" customHeight="1" s="279">
      <c r="A106" s="432" t="inlineStr">
        <is>
          <t xml:space="preserve">Identifying Concurrent </t>
        </is>
      </c>
      <c r="B106" s="316">
        <f>HYPERLINK("https://uva.onlinejudge.org/index.php?option=com_onlinejudge&amp;Itemid=8&amp;page=show_problem&amp;problem=270","UVA 334")</f>
        <v/>
      </c>
      <c r="C106" s="433" t="n"/>
      <c r="D106" s="418" t="n"/>
      <c r="E106" s="418" t="n"/>
      <c r="F106" s="418" t="n"/>
      <c r="G106" s="418" t="n"/>
      <c r="H106" s="418" t="n"/>
      <c r="I106" s="404">
        <f>SUM(E106:H106)</f>
        <v/>
      </c>
      <c r="J106" s="404" t="n"/>
      <c r="K106" s="404" t="n"/>
      <c r="L106" s="418" t="n"/>
      <c r="M106" s="304" t="n"/>
    </row>
    <row r="107" ht="15.75" customHeight="1" s="279">
      <c r="A107" s="432" t="inlineStr">
        <is>
          <t>Numbering Paths</t>
        </is>
      </c>
      <c r="B107" s="316">
        <f>HYPERLINK("https://uva.onlinejudge.org/index.php?option=onlinejudge&amp;page=show_problem&amp;problem=61","UVA 125")</f>
        <v/>
      </c>
      <c r="C107" s="433" t="n"/>
      <c r="D107" s="418" t="n"/>
      <c r="E107" s="418" t="n"/>
      <c r="F107" s="418" t="n"/>
      <c r="G107" s="418" t="n"/>
      <c r="H107" s="418" t="n"/>
      <c r="I107" s="404">
        <f>SUM(E107:H107)</f>
        <v/>
      </c>
      <c r="J107" s="404" t="n"/>
      <c r="K107" s="404" t="n"/>
      <c r="L107" s="418" t="n"/>
      <c r="M107" s="474">
        <f>HYPERLINK("https://github.com/mostafa-saad/MyCompetitiveProgramming/blob/master/UVA/UVA_125.txt","Sol")</f>
        <v/>
      </c>
    </row>
    <row r="108" ht="15.75" customHeight="1" s="279">
      <c r="A108" s="437" t="inlineStr">
        <is>
          <t>Jack Straws</t>
        </is>
      </c>
      <c r="B108" s="317">
        <f>HYPERLINK("https://uva.onlinejudge.org/index.php?option=com_onlinejudge&amp;Itemid=8&amp;page=show_problem&amp;problem=209","UVA 273")</f>
        <v/>
      </c>
      <c r="C108" s="433" t="n"/>
      <c r="D108" s="418" t="n"/>
      <c r="E108" s="418" t="n"/>
      <c r="F108" s="418" t="n"/>
      <c r="G108" s="418" t="n"/>
      <c r="H108" s="418" t="n"/>
      <c r="I108" s="404">
        <f>SUM(E108:H108)</f>
        <v/>
      </c>
      <c r="J108" s="295" t="n"/>
      <c r="K108" s="295" t="n"/>
      <c r="L108" s="295" t="n"/>
      <c r="M108" s="474">
        <f>HYPERLINK("https://github.com/MeGaCrazy/CompetitiveProgramming/blob/6c8e6d79950bbe406f56e3b990159810fcca7431/UVA/UVA_273.cpp","Sol")</f>
        <v/>
      </c>
    </row>
    <row r="109" ht="15.75" customHeight="1" s="279">
      <c r="A109" s="437" t="inlineStr">
        <is>
          <t>Longest Match</t>
        </is>
      </c>
      <c r="B109" s="438">
        <f>HYPERLINK("https://uva.onlinejudge.org/index.php?option=onlinejudge&amp;page=show_problem&amp;problem=1041","UVA 10100")</f>
        <v/>
      </c>
      <c r="C109" s="433" t="n"/>
      <c r="D109" s="418" t="n"/>
      <c r="E109" s="418" t="n"/>
      <c r="F109" s="418" t="n"/>
      <c r="G109" s="418" t="n"/>
      <c r="H109" s="418" t="n"/>
      <c r="I109" s="404">
        <f>SUM(E109:H109)</f>
        <v/>
      </c>
      <c r="J109" s="404" t="n"/>
      <c r="K109" s="404" t="n"/>
      <c r="L109" s="418" t="n"/>
      <c r="M109" s="485" t="inlineStr">
        <is>
          <t>Sol</t>
        </is>
      </c>
    </row>
    <row r="110" ht="15.75" customHeight="1" s="279">
      <c r="A110" s="437" t="inlineStr">
        <is>
          <t>Isolated Segments</t>
        </is>
      </c>
      <c r="B110" s="438">
        <f>HYPERLINK("https://uva.onlinejudge.org/index.php?option=com_onlinejudge&amp;Itemid=8&amp;page=show_problem&amp;problem=2318","UVA 11343")</f>
        <v/>
      </c>
      <c r="C110" s="433" t="n"/>
      <c r="D110" s="418" t="n"/>
      <c r="E110" s="418" t="n"/>
      <c r="F110" s="418" t="n"/>
      <c r="G110" s="418" t="n"/>
      <c r="H110" s="418" t="n"/>
      <c r="I110" s="404">
        <f>SUM(E110:H110)</f>
        <v/>
      </c>
      <c r="J110" s="404" t="n"/>
      <c r="K110" s="404" t="n"/>
      <c r="L110" s="418" t="n"/>
      <c r="M110" s="474">
        <f>HYPERLINK("https://github.com/hosamk92/CompetitiveProgramming/blob/master/UVA/UVA%2011343.cpp","Sol")</f>
        <v/>
      </c>
    </row>
    <row r="111" ht="15.75" customHeight="1" s="279">
      <c r="A111" s="437" t="inlineStr">
        <is>
          <t>Counting</t>
        </is>
      </c>
      <c r="B111" s="438">
        <f>HYPERLINK("https://uva.onlinejudge.org/index.php?option=com_onlinejudge&amp;Itemid=8&amp;page=show_problem&amp;problem=1139","UVA 10198")</f>
        <v/>
      </c>
      <c r="C111" s="433" t="n"/>
      <c r="D111" s="418" t="n"/>
      <c r="E111" s="418" t="n"/>
      <c r="F111" s="418" t="n"/>
      <c r="G111" s="418" t="n"/>
      <c r="H111" s="418" t="n"/>
      <c r="I111" s="404">
        <f>SUM(E111:H111)</f>
        <v/>
      </c>
      <c r="J111" s="404" t="n"/>
      <c r="K111" s="404" t="n"/>
      <c r="L111" s="418" t="n"/>
      <c r="M111" s="471">
        <f>HYPERLINK("https://github.com/lamphanviet/competitive-programming/blob/master/uva-online-judge/accepted-solutions/10198%20-%20Counting.cpp","Needs Big Integer: Have it in your cpp library or learn Java for these (rare) cases")</f>
        <v/>
      </c>
    </row>
    <row r="112" ht="15.75" customHeight="1" s="279">
      <c r="A112" s="295" t="n"/>
      <c r="B112" s="295" t="n"/>
      <c r="C112" s="433" t="n"/>
      <c r="D112" s="418" t="n"/>
      <c r="E112" s="418" t="n"/>
      <c r="F112" s="418" t="n"/>
      <c r="G112" s="418" t="n"/>
      <c r="H112" s="418" t="n"/>
      <c r="I112" s="404">
        <f>SUM(E112:H112)</f>
        <v/>
      </c>
      <c r="J112" s="404" t="n"/>
      <c r="K112" s="404" t="n"/>
      <c r="L112" s="418" t="n"/>
      <c r="M112" s="295" t="n"/>
    </row>
    <row r="113" ht="15.75" customHeight="1" s="279">
      <c r="A113" s="295" t="inlineStr">
        <is>
          <t>Mafia</t>
        </is>
      </c>
      <c r="B113" s="417">
        <f>HYPERLINK("http://codeforces.com/contest/349/problem/C","CF349-D2-C")</f>
        <v/>
      </c>
      <c r="C113" s="433" t="n"/>
      <c r="D113" s="418" t="n"/>
      <c r="E113" s="418" t="n"/>
      <c r="F113" s="418" t="n"/>
      <c r="G113" s="418" t="n"/>
      <c r="H113" s="418" t="n"/>
      <c r="I113" s="404">
        <f>SUM(E113:H113)</f>
        <v/>
      </c>
      <c r="J113" s="295" t="n"/>
      <c r="K113" s="295" t="n"/>
      <c r="L113" s="295" t="n"/>
      <c r="M113" s="295" t="n"/>
    </row>
    <row r="114" ht="15.75" customHeight="1" s="279">
      <c r="A114" s="295" t="inlineStr">
        <is>
          <t>Sereja and Prefixes</t>
        </is>
      </c>
      <c r="B114" s="417">
        <f>HYPERLINK("http://codeforces.com/contest/381/problem/C","CF381-D2-C")</f>
        <v/>
      </c>
      <c r="C114" s="433" t="n"/>
      <c r="D114" s="418" t="n"/>
      <c r="E114" s="418" t="n"/>
      <c r="F114" s="418" t="n"/>
      <c r="G114" s="418" t="n"/>
      <c r="H114" s="418" t="n"/>
      <c r="I114" s="404">
        <f>SUM(E114:H114)</f>
        <v/>
      </c>
      <c r="J114" s="295" t="n"/>
      <c r="K114" s="295" t="n"/>
      <c r="L114" s="295" t="n"/>
      <c r="M114" s="295" t="n"/>
    </row>
    <row r="115" ht="15.75" customHeight="1" s="279">
      <c r="A115" s="295" t="inlineStr">
        <is>
          <t>About Bacteria</t>
        </is>
      </c>
      <c r="B115" s="417">
        <f>HYPERLINK("http://codeforces.com/contest/199/problem/C","CF199-D2-C")</f>
        <v/>
      </c>
      <c r="C115" s="433" t="n"/>
      <c r="D115" s="418" t="n"/>
      <c r="E115" s="418" t="n"/>
      <c r="F115" s="418" t="n"/>
      <c r="G115" s="418" t="n"/>
      <c r="H115" s="418" t="n"/>
      <c r="I115" s="404">
        <f>SUM(E115:H115)</f>
        <v/>
      </c>
      <c r="J115" s="295" t="n"/>
      <c r="K115" s="295" t="n"/>
      <c r="L115" s="295" t="n"/>
      <c r="M115" s="295" t="n"/>
    </row>
    <row r="116" ht="15.75" customHeight="1" s="279">
      <c r="A116" s="295" t="inlineStr">
        <is>
          <t>DNA Alignment</t>
        </is>
      </c>
      <c r="B116" s="417">
        <f>HYPERLINK("http://codeforces.com/contest/520/problem/C","CF520-D2-C")</f>
        <v/>
      </c>
      <c r="C116" s="433" t="n"/>
      <c r="D116" s="418" t="n"/>
      <c r="E116" s="418" t="n"/>
      <c r="F116" s="418" t="n"/>
      <c r="G116" s="418" t="n"/>
      <c r="H116" s="418" t="n"/>
      <c r="I116" s="404">
        <f>SUM(E116:H116)</f>
        <v/>
      </c>
      <c r="J116" s="295" t="n"/>
      <c r="K116" s="295" t="n"/>
      <c r="L116" s="295" t="n"/>
      <c r="M116" s="295" t="n"/>
    </row>
    <row r="117" ht="15.75" customHeight="1" s="279">
      <c r="A117" s="295" t="inlineStr">
        <is>
          <t>Geometric Progression</t>
        </is>
      </c>
      <c r="B117" s="417">
        <f>HYPERLINK("http://codeforces.com/contest/567/problem/C","CF567-D2-C")</f>
        <v/>
      </c>
      <c r="C117" s="433" t="n"/>
      <c r="D117" s="418" t="n"/>
      <c r="E117" s="418" t="n"/>
      <c r="F117" s="418" t="n"/>
      <c r="G117" s="418" t="n"/>
      <c r="H117" s="418" t="n"/>
      <c r="I117" s="404">
        <f>SUM(E117:H117)</f>
        <v/>
      </c>
      <c r="J117" s="295" t="n"/>
      <c r="K117" s="295" t="n"/>
      <c r="L117" s="295" t="n"/>
      <c r="M117" s="295" t="n"/>
    </row>
    <row r="118" ht="15.75" customHeight="1" s="279">
      <c r="A118" s="304" t="inlineStr">
        <is>
          <t>Watering Flowers</t>
        </is>
      </c>
      <c r="B118" s="474">
        <f>HYPERLINK("http://codeforces.com/contest/617/problem/C","CF617-D2-C")</f>
        <v/>
      </c>
      <c r="C118" s="433" t="n"/>
      <c r="D118" s="418" t="n"/>
      <c r="E118" s="418" t="n"/>
      <c r="F118" s="418" t="n"/>
      <c r="G118" s="418" t="n"/>
      <c r="H118" s="418" t="n"/>
      <c r="I118" s="404">
        <f>SUM(E118:H118)</f>
        <v/>
      </c>
      <c r="J118" s="404" t="n"/>
      <c r="K118" s="404" t="n"/>
      <c r="L118" s="418" t="n"/>
      <c r="M118" s="295" t="n"/>
    </row>
    <row r="119" ht="15.75" customHeight="1" s="279">
      <c r="A119" s="304" t="inlineStr">
        <is>
          <t>Quiz</t>
        </is>
      </c>
      <c r="B119" s="474">
        <f>HYPERLINK("http://codeforces.com/contest/337/problem/C","CF337-D2-C")</f>
        <v/>
      </c>
      <c r="C119" s="433" t="n"/>
      <c r="D119" s="418" t="n"/>
      <c r="E119" s="418" t="n"/>
      <c r="F119" s="418" t="n"/>
      <c r="G119" s="418" t="n"/>
      <c r="H119" s="418" t="n"/>
      <c r="I119" s="404">
        <f>SUM(E119:H119)</f>
        <v/>
      </c>
      <c r="J119" s="404" t="n"/>
      <c r="K119" s="404" t="n"/>
      <c r="L119" s="418" t="n"/>
      <c r="M119" s="295" t="n"/>
    </row>
    <row r="120" ht="15.75" customHeight="1" s="279">
      <c r="A120" s="482" t="inlineStr">
        <is>
          <t>Secret Combination</t>
        </is>
      </c>
      <c r="B120" s="318">
        <f>HYPERLINK("http://codeforces.com/contest/496/problem/B","CF496-D2-B")</f>
        <v/>
      </c>
      <c r="C120" s="433" t="n"/>
      <c r="D120" s="418" t="n"/>
      <c r="E120" s="418" t="n"/>
      <c r="F120" s="418" t="n"/>
      <c r="G120" s="418" t="n"/>
      <c r="H120" s="418" t="n"/>
      <c r="I120" s="404">
        <f>SUM(E120:H120)</f>
        <v/>
      </c>
      <c r="J120" s="404" t="n"/>
      <c r="K120" s="404" t="n"/>
      <c r="L120" s="418" t="n"/>
      <c r="M120" s="295" t="n"/>
    </row>
    <row r="121" ht="15.75" customHeight="1" s="279">
      <c r="A121" s="482" t="inlineStr">
        <is>
          <t>MUH and Important Things</t>
        </is>
      </c>
      <c r="B121" s="318">
        <f>HYPERLINK("http://codeforces.com/contest/471/problem/B","CF471-D2-B")</f>
        <v/>
      </c>
      <c r="C121" s="433" t="n"/>
      <c r="D121" s="418" t="n"/>
      <c r="E121" s="418" t="n"/>
      <c r="F121" s="418" t="n"/>
      <c r="G121" s="418" t="n"/>
      <c r="H121" s="418" t="n"/>
      <c r="I121" s="404">
        <f>SUM(E121:H121)</f>
        <v/>
      </c>
      <c r="J121" s="404" t="n"/>
      <c r="K121" s="404" t="n"/>
      <c r="L121" s="418" t="n"/>
      <c r="M121" s="295" t="n"/>
    </row>
    <row r="122" ht="15.75" customHeight="1" s="279">
      <c r="A122" s="482" t="inlineStr">
        <is>
          <t>Lucky Mask</t>
        </is>
      </c>
      <c r="B122" s="318">
        <f>HYPERLINK("http://codeforces.com/contest/146/problem/B","CF146-D2-B")</f>
        <v/>
      </c>
      <c r="C122" s="433" t="n"/>
      <c r="D122" s="418" t="n"/>
      <c r="E122" s="418" t="n"/>
      <c r="F122" s="418" t="n"/>
      <c r="G122" s="418" t="n"/>
      <c r="H122" s="418" t="n"/>
      <c r="I122" s="404">
        <f>SUM(E122:H122)</f>
        <v/>
      </c>
      <c r="J122" s="404" t="n"/>
      <c r="K122" s="404" t="n"/>
      <c r="L122" s="418" t="n"/>
      <c r="M122" s="295" t="n"/>
    </row>
    <row r="123" ht="15.75" customHeight="1" s="279">
      <c r="A123" s="304" t="n"/>
      <c r="B123" s="304" t="n"/>
      <c r="C123" s="433" t="n"/>
      <c r="D123" s="418" t="n"/>
      <c r="E123" s="418" t="n"/>
      <c r="F123" s="418" t="n"/>
      <c r="G123" s="418" t="n"/>
      <c r="H123" s="418" t="n"/>
      <c r="I123" s="404">
        <f>SUM(E123:H123)</f>
        <v/>
      </c>
      <c r="J123" s="404" t="n"/>
      <c r="K123" s="404" t="n"/>
      <c r="L123" s="418" t="n"/>
      <c r="M123" s="295" t="n"/>
    </row>
    <row r="124" ht="15.75" customHeight="1" s="279">
      <c r="A124" s="304" t="n"/>
      <c r="B124" s="304" t="n"/>
      <c r="C124" s="433" t="n"/>
      <c r="D124" s="418" t="n"/>
      <c r="E124" s="418" t="n"/>
      <c r="F124" s="418" t="n"/>
      <c r="G124" s="418" t="n"/>
      <c r="H124" s="418" t="n"/>
      <c r="I124" s="404">
        <f>SUM(E124:H124)</f>
        <v/>
      </c>
      <c r="J124" s="404" t="n"/>
      <c r="K124" s="404" t="n"/>
      <c r="L124" s="418" t="n"/>
      <c r="M124" s="458">
        <f>HYPERLINK("https://www.youtube.com/watch?v=ZNYQrKpR42g","Watch - Measuring Algorithms Perfromance - 2")</f>
        <v/>
      </c>
    </row>
    <row r="125" ht="15.75" customHeight="1" s="279">
      <c r="A125" s="304" t="n"/>
      <c r="B125" s="304" t="n"/>
      <c r="C125" s="433" t="n"/>
      <c r="D125" s="418" t="n"/>
      <c r="E125" s="418" t="n"/>
      <c r="F125" s="418" t="n"/>
      <c r="G125" s="418" t="n"/>
      <c r="H125" s="418" t="n"/>
      <c r="I125" s="404">
        <f>SUM(E125:H125)</f>
        <v/>
      </c>
      <c r="J125" s="404" t="n"/>
      <c r="K125" s="404" t="n"/>
      <c r="L125" s="418" t="n"/>
      <c r="M125" s="463">
        <f>HYPERLINK("https://www.youtube.com/watch?v=RASvnfG2SSE","Watch - Graph Theory - Tree Diameter and Isomorphism")</f>
        <v/>
      </c>
    </row>
    <row r="126" ht="15.75" customHeight="1" s="279">
      <c r="A126" s="432" t="inlineStr">
        <is>
          <t>PT07Z</t>
        </is>
      </c>
      <c r="B126" s="462">
        <f>HYPERLINK("http://www.spoj.com/problems/PT07Z/","SPOJ PT07Z")</f>
        <v/>
      </c>
      <c r="C126" s="433" t="n"/>
      <c r="D126" s="418" t="n"/>
      <c r="E126" s="418" t="n"/>
      <c r="F126" s="418" t="n"/>
      <c r="G126" s="418" t="n"/>
      <c r="H126" s="418" t="n"/>
      <c r="I126" s="404">
        <f>SUM(E126:H126)</f>
        <v/>
      </c>
      <c r="J126" s="404" t="n"/>
      <c r="K126" s="404" t="n"/>
      <c r="L126" s="418" t="n"/>
      <c r="M126" s="474">
        <f>HYPERLINK("https://github.com/abdullaAshraf/Problem-Solving/blob/master/SPOJ/PT07Z.cpp","Sol")</f>
        <v/>
      </c>
    </row>
    <row r="127" ht="15.75" customHeight="1" s="279">
      <c r="A127" s="432" t="inlineStr">
        <is>
          <t>Roads in the North</t>
        </is>
      </c>
      <c r="B127" s="462">
        <f>HYPERLINK("https://uva.onlinejudge.org/index.php?option=com_onlinejudge&amp;Itemid=8&amp;page=show_problem&amp;problem=1249","UVA 10308")</f>
        <v/>
      </c>
      <c r="C127" s="433" t="n"/>
      <c r="D127" s="418" t="n"/>
      <c r="E127" s="418" t="n"/>
      <c r="F127" s="418" t="n"/>
      <c r="G127" s="418" t="n"/>
      <c r="H127" s="418" t="n"/>
      <c r="I127" s="404">
        <f>SUM(E127:H127)</f>
        <v/>
      </c>
      <c r="J127" s="404" t="n"/>
      <c r="K127" s="404" t="n"/>
      <c r="L127" s="418" t="n"/>
      <c r="M127" s="474">
        <f>HYPERLINK("https://github.com/ilyesG/Competitive-Programming/blob/master/UVA/UVA%2010308.cpp","Sol")</f>
        <v/>
      </c>
    </row>
    <row r="128" ht="15.75" customHeight="1" s="279">
      <c r="A128" s="432" t="inlineStr">
        <is>
          <t>Subway tree systems</t>
        </is>
      </c>
      <c r="B128" s="462">
        <f>HYPERLINK("https://icpcarchive.ecs.baylor.edu/index.php?option=com_onlinejudge&amp;Itemid=8&amp;page=show_problem&amp;problem=936","LIVEARCHIVE 2935")</f>
        <v/>
      </c>
      <c r="C128" s="433" t="n"/>
      <c r="D128" s="418" t="n"/>
      <c r="E128" s="418" t="n"/>
      <c r="F128" s="418" t="n"/>
      <c r="G128" s="418" t="n"/>
      <c r="H128" s="418" t="n"/>
      <c r="I128" s="404">
        <f>SUM(E128:H128)</f>
        <v/>
      </c>
      <c r="J128" s="404" t="n"/>
      <c r="K128" s="404" t="n"/>
      <c r="L128" s="418" t="n"/>
      <c r="M128" s="474">
        <f>HYPERLINK("https://github.com/mostafa-saad/MyCompetitiveProgramming/blob/master/LiveArchive/LiveArchive_2935.txt","Sol")</f>
        <v/>
      </c>
    </row>
    <row r="129" ht="15.75" customHeight="1" s="279">
      <c r="A129" s="304" t="n"/>
      <c r="B129" s="304" t="n"/>
      <c r="C129" s="433" t="n"/>
      <c r="D129" s="418" t="n"/>
      <c r="E129" s="418" t="n"/>
      <c r="F129" s="418" t="n"/>
      <c r="G129" s="418" t="n"/>
      <c r="H129" s="418" t="n"/>
      <c r="I129" s="404">
        <f>SUM(E129:H129)</f>
        <v/>
      </c>
      <c r="J129" s="404" t="n"/>
      <c r="K129" s="404" t="n"/>
      <c r="L129" s="418" t="n"/>
      <c r="M129" s="295" t="n"/>
    </row>
    <row r="130" ht="15.75" customHeight="1" s="279">
      <c r="A130" s="295" t="inlineStr">
        <is>
          <t>Shaass and Lights</t>
        </is>
      </c>
      <c r="B130" s="417">
        <f>HYPERLINK("http://codeforces.com/contest/294/problem/C","CF294-D2-C")</f>
        <v/>
      </c>
      <c r="C130" s="433" t="n"/>
      <c r="D130" s="418" t="n"/>
      <c r="E130" s="418" t="n"/>
      <c r="F130" s="418" t="n"/>
      <c r="G130" s="418" t="n"/>
      <c r="H130" s="418" t="n"/>
      <c r="I130" s="404">
        <f>SUM(E130:H130)</f>
        <v/>
      </c>
      <c r="J130" s="295" t="n"/>
      <c r="K130" s="295" t="n"/>
      <c r="L130" s="295" t="n"/>
      <c r="M130" s="417">
        <f>HYPERLINK("https://www.youtube.com/watch?v=xB6St1GAKUg","Video Solution - Dr Mostafa Saad")</f>
        <v/>
      </c>
    </row>
    <row r="131" ht="15.75" customHeight="1" s="279">
      <c r="A131" s="304" t="inlineStr">
        <is>
          <t>Journey</t>
        </is>
      </c>
      <c r="B131" s="474">
        <f>HYPERLINK("http://codeforces.com/contest/721/problem/C","CF721-D2-C")</f>
        <v/>
      </c>
      <c r="C131" s="433" t="n"/>
      <c r="D131" s="418" t="n"/>
      <c r="E131" s="418" t="n"/>
      <c r="F131" s="418" t="n"/>
      <c r="G131" s="418" t="n"/>
      <c r="H131" s="418" t="n"/>
      <c r="I131" s="404">
        <f>SUM(E131:H131)</f>
        <v/>
      </c>
      <c r="J131" s="404" t="n"/>
      <c r="K131" s="404" t="n"/>
      <c r="L131" s="418" t="n"/>
      <c r="M131" s="295" t="n"/>
    </row>
    <row r="132" ht="15.75" customHeight="1" s="279">
      <c r="A132" s="295" t="inlineStr">
        <is>
          <t>Captain Marmot</t>
        </is>
      </c>
      <c r="B132" s="417">
        <f>HYPERLINK("http://codeforces.com/contest/474/problem/C","CF474-D2-C")</f>
        <v/>
      </c>
      <c r="C132" s="433" t="n"/>
      <c r="D132" s="418" t="n"/>
      <c r="E132" s="418" t="n"/>
      <c r="F132" s="418" t="n"/>
      <c r="G132" s="418" t="n"/>
      <c r="H132" s="418" t="n"/>
      <c r="I132" s="404">
        <f>SUM(E132:H132)</f>
        <v/>
      </c>
      <c r="J132" s="404" t="n"/>
      <c r="K132" s="404" t="n"/>
      <c r="L132" s="295" t="n"/>
      <c r="M132" s="419">
        <f>HYPERLINK("https://www.youtube.com/watch?v=TpRObCQT9Lw","Video Solution - Dr Mostafa Saad")</f>
        <v/>
      </c>
    </row>
    <row r="133" ht="15.75" customHeight="1" s="279">
      <c r="A133" s="295" t="inlineStr">
        <is>
          <t>The Big Race</t>
        </is>
      </c>
      <c r="B133" s="419">
        <f>HYPERLINK("http://codeforces.com/contest/592/problem/C","CF592-D2-C")</f>
        <v/>
      </c>
      <c r="C133" s="433" t="n"/>
      <c r="D133" s="418" t="n"/>
      <c r="E133" s="418" t="n"/>
      <c r="F133" s="418" t="n"/>
      <c r="G133" s="418" t="n"/>
      <c r="H133" s="418" t="n"/>
      <c r="I133" s="404">
        <f>SUM(E133:H133)</f>
        <v/>
      </c>
      <c r="J133" s="295" t="n"/>
      <c r="K133" s="295" t="n"/>
      <c r="L133" s="295" t="n"/>
      <c r="M133" s="295" t="n"/>
    </row>
    <row r="134" ht="15.75" customHeight="1" s="279">
      <c r="A134" s="295" t="inlineStr">
        <is>
          <t>Molly's Chemicals</t>
        </is>
      </c>
      <c r="B134" s="419">
        <f>HYPERLINK("http://codeforces.com/contest/776/problem/C","CF776-D2-C")</f>
        <v/>
      </c>
      <c r="C134" s="433" t="n"/>
      <c r="D134" s="418" t="n"/>
      <c r="E134" s="418" t="n"/>
      <c r="F134" s="418" t="n"/>
      <c r="G134" s="418" t="n"/>
      <c r="H134" s="418" t="n"/>
      <c r="I134" s="404">
        <f>SUM(E134:H134)</f>
        <v/>
      </c>
      <c r="J134" s="295" t="n"/>
      <c r="K134" s="295" t="n"/>
      <c r="L134" s="295" t="n"/>
      <c r="M134" s="417">
        <f>HYPERLINK("https://www.youtube.com/watch?v=5roeMaM3T3Y","Video Solution - Solver to be (Java)")</f>
        <v/>
      </c>
    </row>
    <row r="135" ht="15.75" customHeight="1" s="279">
      <c r="A135" s="482" t="inlineStr">
        <is>
          <t>Anatoly and Cockroaches</t>
        </is>
      </c>
      <c r="B135" s="318">
        <f>HYPERLINK("http://codeforces.com/contest/719/problem/B","CF719-D2-B")</f>
        <v/>
      </c>
      <c r="C135" s="433" t="n"/>
      <c r="D135" s="418" t="n"/>
      <c r="E135" s="418" t="n"/>
      <c r="F135" s="418" t="n"/>
      <c r="G135" s="418" t="n"/>
      <c r="H135" s="418" t="n"/>
      <c r="I135" s="404">
        <f>SUM(E135:H135)</f>
        <v/>
      </c>
      <c r="J135" s="295" t="n"/>
      <c r="K135" s="295" t="n"/>
      <c r="L135" s="295" t="n"/>
      <c r="M135" s="417" t="n"/>
    </row>
    <row r="136" ht="15.75" customHeight="1" s="279">
      <c r="A136" s="482" t="inlineStr">
        <is>
          <t>Opposites Attract</t>
        </is>
      </c>
      <c r="B136" s="318">
        <f>HYPERLINK("http://codeforces.com/contest/131/problem/B","CF131-D2-B")</f>
        <v/>
      </c>
      <c r="C136" s="433" t="n"/>
      <c r="D136" s="418" t="n"/>
      <c r="E136" s="418" t="n"/>
      <c r="F136" s="418" t="n"/>
      <c r="G136" s="418" t="n"/>
      <c r="H136" s="418" t="n"/>
      <c r="I136" s="404">
        <f>SUM(E136:H136)</f>
        <v/>
      </c>
      <c r="J136" s="295" t="n"/>
      <c r="K136" s="295" t="n"/>
      <c r="L136" s="295" t="n"/>
      <c r="M136" s="417" t="n"/>
    </row>
    <row r="137" ht="15.75" customHeight="1" s="279">
      <c r="A137" s="295" t="n"/>
      <c r="B137" s="295" t="n"/>
      <c r="C137" s="433" t="n"/>
      <c r="D137" s="418" t="n"/>
      <c r="E137" s="418" t="n"/>
      <c r="F137" s="418" t="n"/>
      <c r="G137" s="418" t="n"/>
      <c r="H137" s="418" t="n"/>
      <c r="I137" s="404">
        <f>SUM(E137:H137)</f>
        <v/>
      </c>
      <c r="J137" s="404" t="n"/>
      <c r="K137" s="404" t="n"/>
      <c r="L137" s="418" t="n"/>
      <c r="M137" s="295" t="n"/>
    </row>
    <row r="138" ht="15.75" customHeight="1" s="279">
      <c r="A138" s="437" t="inlineStr">
        <is>
          <t>Railway</t>
        </is>
      </c>
      <c r="B138" s="438">
        <f>HYPERLINK("https://uva.onlinejudge.org/index.php?option=onlinejudge&amp;page=show_problem&amp;problem=1204","UVA 10263")</f>
        <v/>
      </c>
      <c r="C138" s="433" t="n"/>
      <c r="D138" s="418" t="n"/>
      <c r="E138" s="418" t="n"/>
      <c r="F138" s="418" t="n"/>
      <c r="G138" s="418" t="n"/>
      <c r="H138" s="418" t="n"/>
      <c r="I138" s="404">
        <f>SUM(E138:H138)</f>
        <v/>
      </c>
      <c r="J138" s="404" t="n"/>
      <c r="K138" s="404" t="n"/>
      <c r="L138" s="418" t="n"/>
      <c r="M138" s="419">
        <f>HYPERLINK("https://github.com/MohamedNabil97/CompetitiveProgramming/blob/master/UVA/10263.cpp","Sol")</f>
        <v/>
      </c>
    </row>
    <row r="139" ht="15.75" customHeight="1" s="279">
      <c r="A139" s="437" t="inlineStr">
        <is>
          <t>Factorial Factors</t>
        </is>
      </c>
      <c r="B139" s="438">
        <f>HYPERLINK("https://uva.onlinejudge.org/index.php?option=com_onlinejudge&amp;Itemid=8&amp;page=show_problem&amp;problem=825","UVA 884")</f>
        <v/>
      </c>
      <c r="C139" s="433" t="n"/>
      <c r="D139" s="418" t="n"/>
      <c r="E139" s="418" t="n"/>
      <c r="F139" s="418" t="n"/>
      <c r="G139" s="418" t="n"/>
      <c r="H139" s="418" t="n"/>
      <c r="I139" s="404">
        <f>SUM(E139:H139)</f>
        <v/>
      </c>
      <c r="J139" s="404" t="n"/>
      <c r="K139" s="404" t="n"/>
      <c r="L139" s="418" t="n"/>
      <c r="M139" s="295" t="n"/>
    </row>
    <row r="140" ht="15.75" customHeight="1" s="279">
      <c r="A140" s="437" t="inlineStr">
        <is>
          <t>Wifi Access</t>
        </is>
      </c>
      <c r="B140" s="438">
        <f>HYPERLINK("https://uva.onlinejudge.org/index.php?option=onlinejudge&amp;page=show_problem&amp;problem=4601","UVA 12748")</f>
        <v/>
      </c>
      <c r="C140" s="433" t="n"/>
      <c r="D140" s="418" t="n"/>
      <c r="E140" s="418" t="n"/>
      <c r="F140" s="418" t="n"/>
      <c r="G140" s="418" t="n"/>
      <c r="H140" s="418" t="n"/>
      <c r="I140" s="404">
        <f>SUM(E140:H140)</f>
        <v/>
      </c>
      <c r="J140" s="404" t="n"/>
      <c r="K140" s="404" t="n"/>
      <c r="L140" s="418" t="n"/>
      <c r="M140" s="474">
        <f>HYPERLINK("https://github.com/MeGaCrazy/CompetitiveProgramming/blob/29ebad1d90e70a17ac4e646e5f049b980fb777de/UVA/UVA_12748.cpp","Sol")</f>
        <v/>
      </c>
    </row>
    <row r="141" ht="15.75" customHeight="1" s="279">
      <c r="A141" s="437" t="inlineStr">
        <is>
          <t>Lining Up</t>
        </is>
      </c>
      <c r="B141" s="438">
        <f>HYPERLINK("https://uva.onlinejudge.org/index.php?option=com_onlinejudge&amp;Itemid=8&amp;page=show_problem&amp;problem=206","UVA 270")</f>
        <v/>
      </c>
      <c r="C141" s="433" t="n"/>
      <c r="D141" s="418" t="n"/>
      <c r="E141" s="418" t="n"/>
      <c r="F141" s="418" t="n"/>
      <c r="G141" s="418" t="n"/>
      <c r="H141" s="418" t="n"/>
      <c r="I141" s="404">
        <f>SUM(E141:H141)</f>
        <v/>
      </c>
      <c r="J141" s="404" t="n"/>
      <c r="K141" s="404" t="n"/>
      <c r="L141" s="418" t="n"/>
      <c r="M141" s="417">
        <f>HYPERLINK("https://www.youtube.com/watch?v=EbB6g4GuNrQ","Video Solution - Eng Mohamed Nasser. Don't Code O(N^3)")</f>
        <v/>
      </c>
    </row>
    <row r="142" ht="15.75" customHeight="1" s="279">
      <c r="A142" s="437" t="inlineStr">
        <is>
          <t>Pouring water</t>
        </is>
      </c>
      <c r="B142" s="438">
        <f>HYPERLINK("http://www.spoj.com/problems/POUR1/","SPOJ POUR1")</f>
        <v/>
      </c>
      <c r="C142" s="433" t="n"/>
      <c r="D142" s="418" t="n"/>
      <c r="E142" s="418" t="n"/>
      <c r="F142" s="418" t="n"/>
      <c r="G142" s="418" t="n"/>
      <c r="H142" s="418" t="n"/>
      <c r="I142" s="404">
        <f>SUM(E142:H142)</f>
        <v/>
      </c>
      <c r="J142" s="295" t="n"/>
      <c r="K142" s="295" t="n"/>
      <c r="L142" s="295" t="n"/>
      <c r="M142" s="421">
        <f>HYPERLINK("https://www.youtube.com/watch?v=dMacXPeTyak&amp;feature=youtu.be","Video Solution - Eng Moaz Rashad")</f>
        <v/>
      </c>
    </row>
    <row r="143" ht="15.75" customHeight="1" s="279">
      <c r="A143" s="437" t="n"/>
      <c r="B143" s="438">
        <f>HYPERLINK("http://codeforces.com/contest/23/problem/C","CF23-D12-C")</f>
        <v/>
      </c>
      <c r="C143" s="433" t="n"/>
      <c r="D143" s="418" t="n"/>
      <c r="E143" s="418" t="n"/>
      <c r="F143" s="418" t="n"/>
      <c r="G143" s="418" t="n"/>
      <c r="H143" s="418" t="n"/>
      <c r="I143" s="404">
        <f>SUM(E143:H143)</f>
        <v/>
      </c>
      <c r="J143" s="295" t="n"/>
      <c r="K143" s="295" t="n"/>
      <c r="L143" s="295" t="n"/>
      <c r="M143" s="421" t="n"/>
    </row>
    <row r="144" ht="15.75" customHeight="1" s="279">
      <c r="A144" s="437" t="n"/>
      <c r="B144" s="438">
        <f>HYPERLINK("http://codeforces.com/problemset/problem/869/C","CF869-D2-C")</f>
        <v/>
      </c>
      <c r="C144" s="433" t="n"/>
      <c r="D144" s="418" t="n"/>
      <c r="E144" s="418" t="n"/>
      <c r="F144" s="418" t="n"/>
      <c r="G144" s="418" t="n"/>
      <c r="H144" s="418" t="n"/>
      <c r="I144" s="404">
        <f>SUM(E144:H144)</f>
        <v/>
      </c>
      <c r="J144" s="295" t="n"/>
      <c r="K144" s="295" t="n"/>
      <c r="L144" s="295" t="n"/>
      <c r="M144" s="421" t="n"/>
    </row>
    <row r="145" ht="15.75" customHeight="1" s="279">
      <c r="A145" s="437" t="n"/>
      <c r="B145" s="437" t="inlineStr">
        <is>
          <t>SRM321-D1-500</t>
        </is>
      </c>
      <c r="C145" s="433" t="n"/>
      <c r="D145" s="418" t="n"/>
      <c r="E145" s="418" t="n"/>
      <c r="F145" s="418" t="n"/>
      <c r="G145" s="418" t="n"/>
      <c r="H145" s="418" t="n"/>
      <c r="I145" s="404">
        <f>SUM(E145:H145)</f>
        <v/>
      </c>
      <c r="J145" s="295" t="n"/>
      <c r="K145" s="295" t="n"/>
      <c r="L145" s="295" t="n"/>
      <c r="M145" s="304" t="inlineStr">
        <is>
          <t>See Rushiose's code in arena summary</t>
        </is>
      </c>
    </row>
    <row r="146" ht="15.75" customHeight="1" s="279">
      <c r="A146" s="295" t="n"/>
      <c r="B146" s="295" t="n"/>
      <c r="C146" s="433" t="n"/>
      <c r="D146" s="418" t="n"/>
      <c r="E146" s="418" t="n"/>
      <c r="F146" s="418" t="n"/>
      <c r="G146" s="418" t="n"/>
      <c r="H146" s="418" t="n"/>
      <c r="I146" s="404">
        <f>SUM(E146:H146)</f>
        <v/>
      </c>
      <c r="J146" s="404" t="n"/>
      <c r="K146" s="404" t="n"/>
      <c r="L146" s="418" t="n"/>
    </row>
    <row r="147" ht="15.75" customHeight="1" s="279">
      <c r="A147" s="295" t="n"/>
      <c r="B147" s="295" t="n"/>
      <c r="C147" s="433" t="n"/>
      <c r="D147" s="418" t="n"/>
      <c r="E147" s="418" t="n"/>
      <c r="F147" s="418" t="n"/>
      <c r="G147" s="418" t="n"/>
      <c r="H147" s="418" t="n"/>
      <c r="I147" s="404">
        <f>SUM(E147:H147)</f>
        <v/>
      </c>
      <c r="J147" s="404" t="n"/>
      <c r="K147" s="404" t="n"/>
      <c r="L147" s="418" t="n"/>
      <c r="M147" s="463">
        <f>HYPERLINK("https://www.youtube.com/watch?v=j__Kredt7vY","Watch Video - Expected Value")</f>
        <v/>
      </c>
    </row>
    <row r="148" ht="15.75" customHeight="1" s="279">
      <c r="A148" s="432" t="inlineStr">
        <is>
          <t>God, Save me</t>
        </is>
      </c>
      <c r="B148" s="462">
        <f>HYPERLINK("https://uva.onlinejudge.org/index.php?option=com_onlinejudge&amp;Itemid=8&amp;page=show_problem&amp;problem=1718","UVA 10777")</f>
        <v/>
      </c>
      <c r="C148" s="433" t="n"/>
      <c r="D148" s="418" t="n"/>
      <c r="E148" s="418" t="n"/>
      <c r="F148" s="418" t="n"/>
      <c r="G148" s="418" t="n"/>
      <c r="H148" s="418" t="n"/>
      <c r="I148" s="404">
        <f>SUM(E148:H148)</f>
        <v/>
      </c>
      <c r="J148" s="404" t="n"/>
      <c r="K148" s="404" t="n"/>
      <c r="L148" s="418" t="n"/>
      <c r="M148" s="474">
        <f>HYPERLINK("https://github.com/ilyesG/Competitive-Programming/blob/master/UVA/UVA%2010777.cpp","Sol")</f>
        <v/>
      </c>
    </row>
    <row r="149" ht="15.75" customHeight="1" s="279">
      <c r="A149" s="432" t="n"/>
      <c r="B149" s="462">
        <f>HYPERLINK("http://codeforces.com/contest/839/problem/C","CF839-D2-C")</f>
        <v/>
      </c>
      <c r="C149" s="433" t="n"/>
      <c r="D149" s="418" t="n"/>
      <c r="E149" s="418" t="n"/>
      <c r="F149" s="418" t="n"/>
      <c r="G149" s="418" t="n"/>
      <c r="H149" s="418" t="n"/>
      <c r="I149" s="404">
        <f>SUM(E149:H149)</f>
        <v/>
      </c>
      <c r="J149" s="404" t="n"/>
      <c r="K149" s="404" t="n"/>
      <c r="L149" s="418" t="n"/>
      <c r="M149" s="295" t="n"/>
    </row>
    <row r="150" ht="15.75" customHeight="1" s="279">
      <c r="A150" s="432" t="n"/>
      <c r="B150" s="462">
        <f>HYPERLINK("http://codeforces.com/contest/454/problem/C","CF454-D2-C")</f>
        <v/>
      </c>
      <c r="C150" s="433" t="n"/>
      <c r="D150" s="418" t="n"/>
      <c r="E150" s="418" t="n"/>
      <c r="F150" s="418" t="n"/>
      <c r="G150" s="418" t="n"/>
      <c r="H150" s="418" t="n"/>
      <c r="I150" s="404">
        <f>SUM(E150:H150)</f>
        <v/>
      </c>
      <c r="J150" s="404" t="n"/>
      <c r="K150" s="404" t="n"/>
      <c r="L150" s="418" t="n"/>
      <c r="M150" s="295" t="n"/>
    </row>
    <row r="151" ht="15.75" customHeight="1" s="279">
      <c r="A151" s="432" t="n"/>
      <c r="B151" s="432" t="inlineStr">
        <is>
          <t>SRM577-D1-250</t>
        </is>
      </c>
      <c r="C151" s="433" t="n"/>
      <c r="D151" s="418" t="n"/>
      <c r="E151" s="418" t="n"/>
      <c r="F151" s="418" t="n"/>
      <c r="G151" s="418" t="n"/>
      <c r="H151" s="418" t="n"/>
      <c r="I151" s="404">
        <f>SUM(E151:H151)</f>
        <v/>
      </c>
      <c r="J151" s="404" t="n"/>
      <c r="K151" s="404" t="n"/>
      <c r="L151" s="418" t="n"/>
      <c r="M151" s="419">
        <f>HYPERLINK("https://apps.topcoder.com/wiki/display/tc/Algorithm+Problem+Set+Analysis","Editorial")</f>
        <v/>
      </c>
    </row>
    <row r="152" ht="15.75" customHeight="1" s="279">
      <c r="A152" s="432" t="n"/>
      <c r="B152" s="462">
        <f>HYPERLINK("https://www.hackerrank.com/challenges/lazy-sorting","HACKR lazy-sorting")</f>
        <v/>
      </c>
      <c r="C152" s="433" t="n"/>
      <c r="D152" s="418" t="n"/>
      <c r="E152" s="418" t="n"/>
      <c r="F152" s="418" t="n"/>
      <c r="G152" s="418" t="n"/>
      <c r="H152" s="418" t="n"/>
      <c r="I152" s="404">
        <f>SUM(E152:H152)</f>
        <v/>
      </c>
      <c r="J152" s="404" t="n"/>
      <c r="K152" s="404" t="n"/>
      <c r="L152" s="418" t="n"/>
      <c r="M152" s="474">
        <f>HYPERLINK("https://www.youtube.com/watch?v=j__Kredt7vY","Revise Expected Value")</f>
        <v/>
      </c>
    </row>
    <row r="153" ht="15.75" customHeight="1" s="279">
      <c r="A153" s="437" t="n"/>
      <c r="B153" s="438">
        <f>HYPERLINK("http://www.spoj.com/problems/ALIENS/","SPOJ ALIENS")</f>
        <v/>
      </c>
      <c r="C153" s="433" t="n"/>
      <c r="D153" s="418" t="n"/>
      <c r="E153" s="418" t="n"/>
      <c r="F153" s="418" t="n"/>
      <c r="G153" s="418" t="n"/>
      <c r="H153" s="418" t="n"/>
      <c r="I153" s="404">
        <f>SUM(E153:H153)</f>
        <v/>
      </c>
      <c r="J153" s="404" t="n"/>
      <c r="K153" s="404" t="n"/>
      <c r="L153" s="418" t="n"/>
      <c r="M153" s="474">
        <f>HYPERLINK("https://github.com/mostafa-saad/MyCompetitiveProgramming/blob/master/SPOJ/SPOJ_ALIENS.txt","Sol - Practice on min enclosing circle")</f>
        <v/>
      </c>
    </row>
    <row r="154" ht="15.75" customHeight="1" s="279">
      <c r="A154" s="437" t="n"/>
      <c r="B154" s="438">
        <f>HYPERLINK("http://codeforces.com/contest/340/problem/B","CF340-D2-B")</f>
        <v/>
      </c>
      <c r="C154" s="433" t="n"/>
      <c r="D154" s="418" t="n"/>
      <c r="E154" s="418" t="n"/>
      <c r="F154" s="418" t="n"/>
      <c r="G154" s="418" t="n"/>
      <c r="H154" s="418" t="n"/>
      <c r="I154" s="404">
        <f>SUM(E154:H154)</f>
        <v/>
      </c>
      <c r="J154" s="404" t="n"/>
      <c r="K154" s="404" t="n"/>
      <c r="L154" s="418" t="n"/>
      <c r="M154" s="295" t="n"/>
    </row>
    <row r="155" ht="15.75" customHeight="1" s="279">
      <c r="A155" s="476" t="n"/>
      <c r="B155" s="476" t="n"/>
      <c r="C155" s="477" t="n"/>
      <c r="D155" s="477" t="n"/>
      <c r="E155" s="477" t="n"/>
      <c r="F155" s="477" t="n"/>
      <c r="G155" s="477" t="n"/>
      <c r="H155" s="477" t="n"/>
      <c r="I155" s="477">
        <f>SUM(E155:G155)</f>
        <v/>
      </c>
      <c r="J155" s="477" t="n"/>
      <c r="K155" s="477" t="n"/>
      <c r="L155" s="477" t="n"/>
      <c r="M155" s="476" t="n"/>
    </row>
    <row r="156" ht="23.25" customHeight="1" s="279">
      <c r="A156" s="295" t="n"/>
      <c r="B156" s="295" t="n"/>
      <c r="C156" s="418" t="n"/>
      <c r="D156" s="478" t="inlineStr">
        <is>
          <t>Optional Problems</t>
        </is>
      </c>
      <c r="H156" s="418" t="n"/>
      <c r="I156" s="418">
        <f>SUM(E156:G156)</f>
        <v/>
      </c>
      <c r="J156" s="479" t="inlineStr">
        <is>
          <t>You don't have to or encouraged to solve the next problem. If you felt you need so, try some of them. Or Proceed to next and solve in parallel, up to you.</t>
        </is>
      </c>
    </row>
    <row r="157" ht="15.75" customHeight="1" s="279">
      <c r="A157" s="476" t="n"/>
      <c r="B157" s="476" t="n"/>
      <c r="C157" s="477" t="n"/>
      <c r="D157" s="477" t="n"/>
      <c r="E157" s="477" t="n"/>
      <c r="F157" s="477" t="n"/>
      <c r="G157" s="477" t="n"/>
      <c r="H157" s="477" t="n"/>
      <c r="I157" s="477">
        <f>SUM(E157:G157)</f>
        <v/>
      </c>
      <c r="J157" s="477" t="n"/>
      <c r="K157" s="477" t="n"/>
      <c r="L157" s="477" t="n"/>
      <c r="M157" s="476" t="n"/>
    </row>
    <row r="158" ht="15.75" customHeight="1" s="279">
      <c r="A158" s="304" t="inlineStr">
        <is>
          <t>Checkposts</t>
        </is>
      </c>
      <c r="B158" s="474">
        <f>HYPERLINK("http://codeforces.com/contest/427/problem/C","CF427-D2-C")</f>
        <v/>
      </c>
      <c r="C158" s="433" t="n"/>
      <c r="D158" s="418" t="n"/>
      <c r="E158" s="418" t="n"/>
      <c r="F158" s="418" t="n"/>
      <c r="G158" s="418" t="n"/>
      <c r="H158" s="418" t="n"/>
      <c r="I158" s="404">
        <f>SUM(E158:H158)</f>
        <v/>
      </c>
      <c r="J158" s="404" t="n"/>
      <c r="K158" s="404" t="n"/>
      <c r="L158" s="418" t="n"/>
      <c r="M158" s="295" t="n"/>
    </row>
    <row r="159" ht="15.75" customHeight="1" s="279">
      <c r="A159" s="304" t="inlineStr">
        <is>
          <t>Literature Lesson</t>
        </is>
      </c>
      <c r="B159" s="474">
        <f>HYPERLINK("http://codeforces.com/contest/139/problem/C","CF139-D2-C")</f>
        <v/>
      </c>
      <c r="C159" s="433" t="n"/>
      <c r="D159" s="418" t="n"/>
      <c r="E159" s="418" t="n"/>
      <c r="F159" s="418" t="n"/>
      <c r="G159" s="418" t="n"/>
      <c r="H159" s="418" t="n"/>
      <c r="I159" s="404">
        <f>SUM(E159:H159)</f>
        <v/>
      </c>
      <c r="J159" s="404" t="n"/>
      <c r="K159" s="404" t="n"/>
      <c r="L159" s="418" t="n"/>
      <c r="M159" s="295" t="n"/>
    </row>
    <row r="160" ht="15.75" customHeight="1" s="279">
      <c r="A160" s="304" t="inlineStr">
        <is>
          <t>Arpa's loud Owf and Mehrdad's evil plan</t>
        </is>
      </c>
      <c r="B160" s="474">
        <f>HYPERLINK("http://codeforces.com/contest/742/problem/C","CF742-D2-C")</f>
        <v/>
      </c>
      <c r="C160" s="433" t="n"/>
      <c r="D160" s="418" t="n"/>
      <c r="E160" s="418" t="n"/>
      <c r="F160" s="418" t="n"/>
      <c r="G160" s="418" t="n"/>
      <c r="H160" s="418" t="n"/>
      <c r="I160" s="404">
        <f>SUM(E160:H160)</f>
        <v/>
      </c>
      <c r="J160" s="404" t="n"/>
      <c r="K160" s="404" t="n"/>
      <c r="L160" s="418" t="n"/>
      <c r="M160" s="295" t="n"/>
    </row>
    <row r="161" ht="15.75" customHeight="1" s="279">
      <c r="A161" s="304" t="inlineStr">
        <is>
          <t>Parity Game</t>
        </is>
      </c>
      <c r="B161" s="474">
        <f>HYPERLINK("http://codeforces.com/contest/298/problem/C","CF298-D2-C")</f>
        <v/>
      </c>
      <c r="C161" s="433" t="n"/>
      <c r="D161" s="418" t="n"/>
      <c r="E161" s="418" t="n"/>
      <c r="F161" s="418" t="n"/>
      <c r="G161" s="418" t="n"/>
      <c r="H161" s="418" t="n"/>
      <c r="I161" s="404">
        <f>SUM(E161:H161)</f>
        <v/>
      </c>
      <c r="J161" s="404" t="n"/>
      <c r="K161" s="404" t="n"/>
      <c r="L161" s="418" t="n"/>
      <c r="M161" s="295" t="n"/>
    </row>
    <row r="162" ht="15.75" customHeight="1" s="279">
      <c r="A162" s="304" t="inlineStr">
        <is>
          <t>Beauty Pageant</t>
        </is>
      </c>
      <c r="B162" s="474">
        <f>HYPERLINK("http://codeforces.com/contest/246/problem/C","CF246-D2-C")</f>
        <v/>
      </c>
      <c r="C162" s="433" t="n"/>
      <c r="D162" s="418" t="n"/>
      <c r="E162" s="418" t="n"/>
      <c r="F162" s="418" t="n"/>
      <c r="G162" s="418" t="n"/>
      <c r="H162" s="418" t="n"/>
      <c r="I162" s="404">
        <f>SUM(E162:H162)</f>
        <v/>
      </c>
      <c r="J162" s="404" t="n"/>
      <c r="K162" s="404" t="n"/>
      <c r="L162" s="418" t="n"/>
      <c r="M162" s="295" t="n"/>
    </row>
    <row r="163" ht="15.75" customHeight="1" s="279">
      <c r="A163" s="304" t="inlineStr">
        <is>
          <t>Heroes</t>
        </is>
      </c>
      <c r="B163" s="474">
        <f>HYPERLINK("http://codeforces.com/contest/80/problem/C","CF80-D2-C")</f>
        <v/>
      </c>
      <c r="C163" s="433" t="n"/>
      <c r="D163" s="418" t="n"/>
      <c r="E163" s="418" t="n"/>
      <c r="F163" s="418" t="n"/>
      <c r="G163" s="418" t="n"/>
      <c r="H163" s="418" t="n"/>
      <c r="I163" s="404">
        <f>SUM(E163:H163)</f>
        <v/>
      </c>
      <c r="J163" s="404" t="n"/>
      <c r="K163" s="404" t="n"/>
      <c r="L163" s="418" t="n"/>
      <c r="M163" s="295" t="n"/>
    </row>
    <row r="164" ht="15.75" customHeight="1" s="279">
      <c r="A164" s="304" t="inlineStr">
        <is>
          <t>Dynasty Puzzles</t>
        </is>
      </c>
      <c r="B164" s="474">
        <f>HYPERLINK("http://codeforces.com/contest/192/problem/C","CF192-D2-C")</f>
        <v/>
      </c>
      <c r="C164" s="433" t="n"/>
      <c r="D164" s="418" t="n"/>
      <c r="E164" s="418" t="n"/>
      <c r="F164" s="418" t="n"/>
      <c r="G164" s="418" t="n"/>
      <c r="H164" s="418" t="n"/>
      <c r="I164" s="404">
        <f>SUM(E164:H164)</f>
        <v/>
      </c>
      <c r="J164" s="404" t="n"/>
      <c r="K164" s="404" t="n"/>
      <c r="L164" s="418" t="n"/>
      <c r="M164" s="295" t="n"/>
    </row>
    <row r="165" ht="15.75" customHeight="1" s="279">
      <c r="A165" s="304" t="inlineStr">
        <is>
          <t>Buns</t>
        </is>
      </c>
      <c r="B165" s="474">
        <f>HYPERLINK("http://codeforces.com/contest/106/problem/C","CF106-D2-C")</f>
        <v/>
      </c>
      <c r="C165" s="433" t="n"/>
      <c r="D165" s="418" t="n"/>
      <c r="E165" s="418" t="n"/>
      <c r="F165" s="418" t="n"/>
      <c r="G165" s="418" t="n"/>
      <c r="H165" s="418" t="n"/>
      <c r="I165" s="404">
        <f>SUM(E165:H165)</f>
        <v/>
      </c>
      <c r="J165" s="404" t="n"/>
      <c r="K165" s="404" t="n"/>
      <c r="L165" s="418" t="n"/>
      <c r="M165" s="295" t="n"/>
    </row>
    <row r="166" ht="15.75" customHeight="1" s="279">
      <c r="A166" s="304" t="inlineStr">
        <is>
          <t>Counting Kangaroos is Fun</t>
        </is>
      </c>
      <c r="B166" s="474">
        <f>HYPERLINK("http://codeforces.com/contest/373/problem/C","CF373-D2-C")</f>
        <v/>
      </c>
      <c r="C166" s="433" t="n"/>
      <c r="D166" s="418" t="n"/>
      <c r="E166" s="418" t="n"/>
      <c r="F166" s="418" t="n"/>
      <c r="G166" s="418" t="n"/>
      <c r="H166" s="418" t="n"/>
      <c r="I166" s="404">
        <f>SUM(E166:H166)</f>
        <v/>
      </c>
      <c r="J166" s="404" t="n"/>
      <c r="K166" s="404" t="n"/>
      <c r="L166" s="418" t="n"/>
      <c r="M166" s="295" t="n"/>
    </row>
    <row r="167" ht="15.75" customHeight="1" s="279">
      <c r="A167" s="304" t="inlineStr">
        <is>
          <t>Corporation Mail</t>
        </is>
      </c>
      <c r="B167" s="474">
        <f>HYPERLINK("http://codeforces.com/contest/56/problem/C","CF56-D2-C")</f>
        <v/>
      </c>
      <c r="C167" s="433" t="n"/>
      <c r="D167" s="418" t="n"/>
      <c r="E167" s="418" t="n"/>
      <c r="F167" s="418" t="n"/>
      <c r="G167" s="418" t="n"/>
      <c r="H167" s="418" t="n"/>
      <c r="I167" s="404">
        <f>SUM(E167:H167)</f>
        <v/>
      </c>
      <c r="J167" s="404" t="n"/>
      <c r="K167" s="404" t="n"/>
      <c r="L167" s="418" t="n"/>
      <c r="M167" s="295" t="n"/>
    </row>
    <row r="168" ht="15.75" customHeight="1" s="279">
      <c r="A168" s="295" t="inlineStr">
        <is>
          <t>Matrix</t>
        </is>
      </c>
      <c r="B168" s="417">
        <f>HYPERLINK("http://codeforces.com/contest/365/problem/C","CF365-D2-C")</f>
        <v/>
      </c>
      <c r="C168" s="301" t="n"/>
      <c r="D168" s="295" t="n"/>
      <c r="E168" s="295" t="n"/>
      <c r="F168" s="295" t="n"/>
      <c r="G168" s="295" t="n"/>
      <c r="H168" s="295" t="n"/>
      <c r="I168" s="418">
        <f>SUM(E168:H168)</f>
        <v/>
      </c>
      <c r="J168" s="295" t="n"/>
      <c r="K168" s="295" t="n"/>
      <c r="L168" s="295" t="n"/>
      <c r="M168" s="295" t="n"/>
    </row>
    <row r="169" ht="15.75" customHeight="1" s="279">
      <c r="A169" s="437" t="inlineStr">
        <is>
          <t>Pick up sticks</t>
        </is>
      </c>
      <c r="B169" s="317">
        <f>HYPERLINK("https://uva.onlinejudge.org/index.php?option=com_onlinejudge&amp;Itemid=8&amp;page=show_problem&amp;problem=2733","UVA 11686")</f>
        <v/>
      </c>
      <c r="C169" s="301" t="n"/>
      <c r="D169" s="295" t="n"/>
      <c r="E169" s="295" t="n"/>
      <c r="F169" s="295" t="n"/>
      <c r="G169" s="295" t="n"/>
      <c r="H169" s="295" t="n"/>
      <c r="I169" s="418">
        <f>SUM(E169:H169)</f>
        <v/>
      </c>
      <c r="J169" s="295" t="n"/>
      <c r="K169" s="295" t="n"/>
      <c r="L169" s="295" t="n"/>
      <c r="M169" s="417">
        <f>HYPERLINK("https://github.com/VAMPIER000001/CompetitiveProgramming/blob/master/UVA/V-116/UVA%2011686.Cpp","Sol")</f>
        <v/>
      </c>
    </row>
    <row r="170" ht="15.75" customHeight="1" s="279">
      <c r="A170" s="304" t="n"/>
      <c r="B170" s="304" t="n"/>
      <c r="C170" s="433" t="n"/>
      <c r="D170" s="418" t="n"/>
      <c r="E170" s="418" t="n"/>
      <c r="F170" s="418" t="n"/>
      <c r="G170" s="418" t="n"/>
      <c r="H170" s="418" t="n"/>
      <c r="I170" s="404">
        <f>SUM(E170:H170)</f>
        <v/>
      </c>
      <c r="J170" s="404" t="n"/>
      <c r="K170" s="404" t="n"/>
      <c r="L170" s="418" t="n"/>
      <c r="M170" s="295" t="n"/>
    </row>
    <row r="171" ht="15.75" customHeight="1" s="279">
      <c r="A171" s="304" t="inlineStr">
        <is>
          <t>Little Elephant and Interval</t>
        </is>
      </c>
      <c r="B171" s="474">
        <f>HYPERLINK("http://codeforces.com/contest/205/problem/C","CF205-D2-C")</f>
        <v/>
      </c>
      <c r="C171" s="433" t="n"/>
      <c r="D171" s="418" t="n"/>
      <c r="E171" s="418" t="n"/>
      <c r="F171" s="418" t="n"/>
      <c r="G171" s="418" t="n"/>
      <c r="H171" s="418" t="n"/>
      <c r="I171" s="404">
        <f>SUM(E171:H171)</f>
        <v/>
      </c>
      <c r="J171" s="404" t="n"/>
      <c r="K171" s="404" t="n"/>
      <c r="L171" s="418" t="n"/>
      <c r="M171" s="295" t="n"/>
    </row>
    <row r="172" ht="15.75" customHeight="1" s="279">
      <c r="A172" s="304" t="inlineStr">
        <is>
          <t>Sereja and Contest</t>
        </is>
      </c>
      <c r="B172" s="474">
        <f>HYPERLINK("http://codeforces.com/contest/315/problem/C","CF315-D2-C")</f>
        <v/>
      </c>
      <c r="C172" s="433" t="n"/>
      <c r="D172" s="418" t="n"/>
      <c r="E172" s="418" t="n"/>
      <c r="F172" s="418" t="n"/>
      <c r="G172" s="418" t="n"/>
      <c r="H172" s="418" t="n"/>
      <c r="I172" s="404">
        <f>SUM(E172:H172)</f>
        <v/>
      </c>
      <c r="J172" s="404" t="n"/>
      <c r="K172" s="404" t="n"/>
      <c r="L172" s="418" t="n"/>
      <c r="M172" s="295" t="n"/>
    </row>
    <row r="173" ht="15.75" customHeight="1" s="279">
      <c r="A173" s="304" t="inlineStr">
        <is>
          <t>Vasya and Robot</t>
        </is>
      </c>
      <c r="B173" s="474">
        <f>HYPERLINK("http://codeforces.com/contest/355/problem/C","CF355-D2-C")</f>
        <v/>
      </c>
      <c r="C173" s="433" t="n"/>
      <c r="D173" s="418" t="n"/>
      <c r="E173" s="418" t="n"/>
      <c r="F173" s="418" t="n"/>
      <c r="G173" s="418" t="n"/>
      <c r="H173" s="418" t="n"/>
      <c r="I173" s="404">
        <f>SUM(E173:H173)</f>
        <v/>
      </c>
      <c r="J173" s="404" t="n"/>
      <c r="K173" s="404" t="n"/>
      <c r="L173" s="418" t="n"/>
      <c r="M173" s="295" t="n"/>
    </row>
    <row r="174" ht="15.75" customHeight="1" s="279">
      <c r="A174" s="304" t="inlineStr">
        <is>
          <t>Hockey</t>
        </is>
      </c>
      <c r="B174" s="474">
        <f>HYPERLINK("http://codeforces.com/contest/96/problem/C","CF96-D2-C")</f>
        <v/>
      </c>
      <c r="C174" s="433" t="n"/>
      <c r="D174" s="418" t="n"/>
      <c r="E174" s="418" t="n"/>
      <c r="F174" s="418" t="n"/>
      <c r="G174" s="418" t="n"/>
      <c r="H174" s="418" t="n"/>
      <c r="I174" s="404">
        <f>SUM(E174:H174)</f>
        <v/>
      </c>
      <c r="J174" s="404" t="n"/>
      <c r="K174" s="404" t="n"/>
      <c r="L174" s="418" t="n"/>
      <c r="M174" s="295" t="n"/>
    </row>
    <row r="175" ht="15.75" customHeight="1" s="279">
      <c r="A175" s="304" t="inlineStr">
        <is>
          <t>Petya and File System</t>
        </is>
      </c>
      <c r="B175" s="474">
        <f>HYPERLINK("http://codeforces.com/contest/66/problem/C","CF66-D2-C")</f>
        <v/>
      </c>
      <c r="C175" s="433" t="n"/>
      <c r="D175" s="418" t="n"/>
      <c r="E175" s="418" t="n"/>
      <c r="F175" s="418" t="n"/>
      <c r="G175" s="418" t="n"/>
      <c r="H175" s="418" t="n"/>
      <c r="I175" s="404">
        <f>SUM(E175:H175)</f>
        <v/>
      </c>
      <c r="J175" s="404" t="n"/>
      <c r="K175" s="404" t="n"/>
      <c r="L175" s="418" t="n"/>
      <c r="M175" s="295" t="n"/>
    </row>
    <row r="176" ht="15.75" customHeight="1" s="279">
      <c r="A176" s="304" t="inlineStr">
        <is>
          <t>Kyoya and Colored Balls</t>
        </is>
      </c>
      <c r="B176" s="474">
        <f>HYPERLINK("http://codeforces.com/contest/554/problem/C","CF554-D2-C")</f>
        <v/>
      </c>
      <c r="C176" s="433" t="n"/>
      <c r="D176" s="418" t="n"/>
      <c r="E176" s="418" t="n"/>
      <c r="F176" s="418" t="n"/>
      <c r="G176" s="418" t="n"/>
      <c r="H176" s="418" t="n"/>
      <c r="I176" s="404">
        <f>SUM(E176:H176)</f>
        <v/>
      </c>
      <c r="J176" s="404" t="n"/>
      <c r="K176" s="404" t="n"/>
      <c r="L176" s="418" t="n"/>
      <c r="M176" s="295" t="n"/>
    </row>
    <row r="177" ht="15.75" customHeight="1" s="279">
      <c r="A177" s="304" t="inlineStr">
        <is>
          <t>George and Job</t>
        </is>
      </c>
      <c r="B177" s="474">
        <f>HYPERLINK("http://codeforces.com/contest/467/problem/C","CF467-D2-C")</f>
        <v/>
      </c>
      <c r="C177" s="433" t="n"/>
      <c r="D177" s="418" t="n"/>
      <c r="E177" s="418" t="n"/>
      <c r="F177" s="418" t="n"/>
      <c r="G177" s="418" t="n"/>
      <c r="H177" s="418" t="n"/>
      <c r="I177" s="404">
        <f>SUM(E177:H177)</f>
        <v/>
      </c>
      <c r="J177" s="404" t="n"/>
      <c r="K177" s="404" t="n"/>
      <c r="L177" s="418" t="n"/>
      <c r="M177" s="295" t="n"/>
    </row>
    <row r="178" ht="15.75" customHeight="1" s="279">
      <c r="A178" s="304" t="inlineStr">
        <is>
          <t>Harmony Analysis</t>
        </is>
      </c>
      <c r="B178" s="474">
        <f>HYPERLINK("http://codeforces.com/contest/610/problem/C","CF610-D2-C")</f>
        <v/>
      </c>
      <c r="C178" s="433" t="n"/>
      <c r="D178" s="418" t="n"/>
      <c r="E178" s="418" t="n"/>
      <c r="F178" s="418" t="n"/>
      <c r="G178" s="418" t="n"/>
      <c r="H178" s="418" t="n"/>
      <c r="I178" s="404">
        <f>SUM(E178:H178)</f>
        <v/>
      </c>
      <c r="J178" s="404" t="n"/>
      <c r="K178" s="404" t="n"/>
      <c r="L178" s="418" t="n"/>
      <c r="M178" s="295" t="n"/>
    </row>
    <row r="179" ht="15.75" customHeight="1" s="279">
      <c r="A179" s="304" t="inlineStr">
        <is>
          <t>Anton and Making Potions</t>
        </is>
      </c>
      <c r="B179" s="474">
        <f>HYPERLINK("http://codeforces.com/contest/734/problem/C","CF734-D2-C")</f>
        <v/>
      </c>
      <c r="C179" s="433" t="n"/>
      <c r="D179" s="418" t="n"/>
      <c r="E179" s="418" t="n"/>
      <c r="F179" s="418" t="n"/>
      <c r="G179" s="418" t="n"/>
      <c r="H179" s="418" t="n"/>
      <c r="I179" s="404">
        <f>SUM(E179:H179)</f>
        <v/>
      </c>
      <c r="J179" s="404" t="n"/>
      <c r="K179" s="404" t="n"/>
      <c r="L179" s="418" t="n"/>
      <c r="M179" s="295" t="n"/>
    </row>
    <row r="180" ht="15.75" customHeight="1" s="279">
      <c r="A180" s="304" t="inlineStr">
        <is>
          <t>Table Decorations</t>
        </is>
      </c>
      <c r="B180" s="474">
        <f>HYPERLINK("http://codeforces.com/contest/478/problem/C","CF478-D2-C")</f>
        <v/>
      </c>
      <c r="C180" s="433" t="n"/>
      <c r="D180" s="418" t="n"/>
      <c r="E180" s="418" t="n"/>
      <c r="F180" s="418" t="n"/>
      <c r="G180" s="418" t="n"/>
      <c r="H180" s="418" t="n"/>
      <c r="I180" s="404">
        <f>SUM(E180:H180)</f>
        <v/>
      </c>
      <c r="J180" s="404" t="n"/>
      <c r="K180" s="404" t="n"/>
      <c r="L180" s="418" t="n"/>
      <c r="M180" s="295" t="n"/>
    </row>
    <row r="181" ht="15.75" customHeight="1" s="279">
      <c r="A181" s="295" t="inlineStr">
        <is>
          <t>Recycling Bottles</t>
        </is>
      </c>
      <c r="B181" s="417">
        <f>HYPERLINK("http://codeforces.com/contest/672/problem/C","CF672-D2-C")</f>
        <v/>
      </c>
      <c r="C181" s="301" t="n"/>
      <c r="D181" s="295" t="n"/>
      <c r="E181" s="295" t="n"/>
      <c r="F181" s="295" t="n"/>
      <c r="G181" s="295" t="n"/>
      <c r="H181" s="295" t="n"/>
      <c r="I181" s="418">
        <f>SUM(E181:H181)</f>
        <v/>
      </c>
      <c r="J181" s="295" t="n"/>
      <c r="K181" s="295" t="n"/>
      <c r="L181" s="295" t="n"/>
      <c r="M181" s="295" t="n"/>
    </row>
    <row r="182" ht="15.75" customHeight="1" s="279">
      <c r="A182" s="304" t="n"/>
      <c r="B182" s="304" t="n"/>
      <c r="C182" s="433" t="n"/>
      <c r="D182" s="418" t="n"/>
      <c r="E182" s="418" t="n"/>
      <c r="F182" s="418" t="n"/>
      <c r="G182" s="418" t="n"/>
      <c r="H182" s="418" t="n"/>
      <c r="I182" s="404">
        <f>SUM(E182:H182)</f>
        <v/>
      </c>
      <c r="J182" s="404" t="n"/>
      <c r="K182" s="404" t="n"/>
      <c r="L182" s="418" t="n"/>
      <c r="M182" s="295" t="n"/>
    </row>
    <row r="183" ht="15.75" customHeight="1" s="279">
      <c r="A183" s="304" t="inlineStr">
        <is>
          <t>Message</t>
        </is>
      </c>
      <c r="B183" s="474">
        <f>HYPERLINK("http://codeforces.com/contest/157/problem/C","CF157-D2-C")</f>
        <v/>
      </c>
      <c r="C183" s="433" t="n"/>
      <c r="D183" s="418" t="n"/>
      <c r="E183" s="418" t="n"/>
      <c r="F183" s="418" t="n"/>
      <c r="G183" s="418" t="n"/>
      <c r="H183" s="418" t="n"/>
      <c r="I183" s="404">
        <f>SUM(E183:H183)</f>
        <v/>
      </c>
      <c r="J183" s="404" t="n"/>
      <c r="K183" s="404" t="n"/>
      <c r="L183" s="418" t="n"/>
      <c r="M183" s="295" t="n"/>
    </row>
    <row r="184" ht="15.75" customHeight="1" s="279">
      <c r="A184" s="304" t="inlineStr">
        <is>
          <t>Wilbur and Points</t>
        </is>
      </c>
      <c r="B184" s="474">
        <f>HYPERLINK("http://codeforces.com/contest/596/problem/C","CF596-D2-C")</f>
        <v/>
      </c>
      <c r="C184" s="433" t="n"/>
      <c r="D184" s="418" t="n"/>
      <c r="E184" s="418" t="n"/>
      <c r="F184" s="418" t="n"/>
      <c r="G184" s="418" t="n"/>
      <c r="H184" s="418" t="n"/>
      <c r="I184" s="404">
        <f>SUM(E184:H184)</f>
        <v/>
      </c>
      <c r="J184" s="404" t="n"/>
      <c r="K184" s="404" t="n"/>
      <c r="L184" s="418" t="n"/>
      <c r="M184" s="295" t="n"/>
    </row>
    <row r="185" ht="15.75" customHeight="1" s="279">
      <c r="A185" s="304" t="inlineStr">
        <is>
          <t>Cows and Sequence</t>
        </is>
      </c>
      <c r="B185" s="474">
        <f>HYPERLINK("http://codeforces.com/contest/284/problem/C","CF284-D2-C")</f>
        <v/>
      </c>
      <c r="C185" s="433" t="n"/>
      <c r="D185" s="418" t="n"/>
      <c r="E185" s="418" t="n"/>
      <c r="F185" s="418" t="n"/>
      <c r="G185" s="418" t="n"/>
      <c r="H185" s="418" t="n"/>
      <c r="I185" s="404">
        <f>SUM(E185:H185)</f>
        <v/>
      </c>
      <c r="J185" s="404" t="n"/>
      <c r="K185" s="404" t="n"/>
      <c r="L185" s="418" t="n"/>
      <c r="M185" s="295" t="n"/>
    </row>
    <row r="186" ht="15.75" customHeight="1" s="279">
      <c r="A186" s="304" t="inlineStr">
        <is>
          <t>Ladder</t>
        </is>
      </c>
      <c r="B186" s="474">
        <f>HYPERLINK("http://codeforces.com/contest/279/problem/C","CF279-D2-C")</f>
        <v/>
      </c>
      <c r="C186" s="433" t="n"/>
      <c r="D186" s="418" t="n"/>
      <c r="E186" s="418" t="n"/>
      <c r="F186" s="418" t="n"/>
      <c r="G186" s="418" t="n"/>
      <c r="H186" s="418" t="n"/>
      <c r="I186" s="404">
        <f>SUM(E186:H186)</f>
        <v/>
      </c>
      <c r="J186" s="404" t="n"/>
      <c r="K186" s="404" t="n"/>
      <c r="L186" s="418" t="n"/>
      <c r="M186" s="295" t="n"/>
    </row>
    <row r="187" ht="15.75" customHeight="1" s="279">
      <c r="A187" s="304" t="inlineStr">
        <is>
          <t>Not Wool Sequences</t>
        </is>
      </c>
      <c r="B187" s="474">
        <f>HYPERLINK("http://codeforces.com/contest/239/problem/C","CF239-D2-C")</f>
        <v/>
      </c>
      <c r="C187" s="433" t="n"/>
      <c r="D187" s="418" t="n"/>
      <c r="E187" s="418" t="n"/>
      <c r="F187" s="418" t="n"/>
      <c r="G187" s="418" t="n"/>
      <c r="H187" s="418" t="n"/>
      <c r="I187" s="404">
        <f>SUM(E187:H187)</f>
        <v/>
      </c>
      <c r="J187" s="404" t="n"/>
      <c r="K187" s="404" t="n"/>
      <c r="L187" s="418" t="n"/>
      <c r="M187" s="295" t="n"/>
    </row>
    <row r="188" ht="15.75" customHeight="1" s="279">
      <c r="A188" s="304" t="inlineStr">
        <is>
          <t>Anagram</t>
        </is>
      </c>
      <c r="B188" s="474">
        <f>HYPERLINK("http://codeforces.com/contest/254/problem/C","CF254-D2-C")</f>
        <v/>
      </c>
      <c r="C188" s="433" t="n"/>
      <c r="D188" s="418" t="n"/>
      <c r="E188" s="418" t="n"/>
      <c r="F188" s="418" t="n"/>
      <c r="G188" s="418" t="n"/>
      <c r="H188" s="418" t="n"/>
      <c r="I188" s="404">
        <f>SUM(E188:H188)</f>
        <v/>
      </c>
      <c r="J188" s="404" t="n"/>
      <c r="K188" s="404" t="n"/>
      <c r="L188" s="418" t="n"/>
      <c r="M188" s="295" t="n"/>
    </row>
    <row r="189" ht="15.75" customHeight="1" s="279">
      <c r="A189" s="304" t="inlineStr">
        <is>
          <t>DZY Loves Sequences</t>
        </is>
      </c>
      <c r="B189" s="474">
        <f>HYPERLINK("http://codeforces.com/contest/447/problem/C","CF447-D2-C")</f>
        <v/>
      </c>
      <c r="C189" s="433" t="n"/>
      <c r="D189" s="418" t="n"/>
      <c r="E189" s="418" t="n"/>
      <c r="F189" s="418" t="n"/>
      <c r="G189" s="418" t="n"/>
      <c r="H189" s="418" t="n"/>
      <c r="I189" s="404">
        <f>SUM(E189:H189)</f>
        <v/>
      </c>
      <c r="J189" s="404" t="n"/>
      <c r="K189" s="404" t="n"/>
      <c r="L189" s="418" t="n"/>
      <c r="M189" s="295" t="n"/>
    </row>
    <row r="190" ht="15.75" customHeight="1" s="279">
      <c r="A190" s="304" t="inlineStr">
        <is>
          <t>DZY Loves Physics</t>
        </is>
      </c>
      <c r="B190" s="474">
        <f>HYPERLINK("http://codeforces.com/contest/445/problem/C","CF445-D2-C")</f>
        <v/>
      </c>
      <c r="C190" s="433" t="n"/>
      <c r="D190" s="418" t="n"/>
      <c r="E190" s="418" t="n"/>
      <c r="F190" s="418" t="n"/>
      <c r="G190" s="418" t="n"/>
      <c r="H190" s="418" t="n"/>
      <c r="I190" s="404">
        <f>SUM(E190:H190)</f>
        <v/>
      </c>
      <c r="J190" s="404" t="n"/>
      <c r="K190" s="404" t="n"/>
      <c r="L190" s="418" t="n"/>
      <c r="M190" s="295" t="n"/>
    </row>
    <row r="191" ht="15.75" customHeight="1" s="279">
      <c r="A191" s="304" t="inlineStr">
        <is>
          <t>Misha and Forest</t>
        </is>
      </c>
      <c r="B191" s="474">
        <f>HYPERLINK("http://codeforces.com/contest/501/problem/C","CF501-D2-C")</f>
        <v/>
      </c>
      <c r="C191" s="433" t="n"/>
      <c r="D191" s="418" t="n"/>
      <c r="E191" s="418" t="n"/>
      <c r="F191" s="418" t="n"/>
      <c r="G191" s="418" t="n"/>
      <c r="H191" s="418" t="n"/>
      <c r="I191" s="404">
        <f>SUM(E191:H191)</f>
        <v/>
      </c>
      <c r="J191" s="404" t="n"/>
      <c r="K191" s="404" t="n"/>
      <c r="L191" s="418" t="n"/>
      <c r="M191" s="295" t="n"/>
    </row>
    <row r="192" ht="15.75" customHeight="1" s="279">
      <c r="A192" s="304" t="inlineStr">
        <is>
          <t>Jzzhu and Chocolate</t>
        </is>
      </c>
      <c r="B192" s="474">
        <f>HYPERLINK("http://codeforces.com/contest/450/problem/C","CF450-D2-C")</f>
        <v/>
      </c>
      <c r="C192" s="433" t="n"/>
      <c r="D192" s="418" t="n"/>
      <c r="E192" s="418" t="n"/>
      <c r="F192" s="418" t="n"/>
      <c r="G192" s="418" t="n"/>
      <c r="H192" s="418" t="n"/>
      <c r="I192" s="404">
        <f>SUM(E192:H192)</f>
        <v/>
      </c>
      <c r="J192" s="404" t="n"/>
      <c r="K192" s="404" t="n"/>
      <c r="L192" s="418" t="n"/>
      <c r="M192" s="295" t="n"/>
    </row>
    <row r="193" ht="15.75" customHeight="1" s="279">
      <c r="A193" s="304" t="inlineStr">
        <is>
          <t>Cinema</t>
        </is>
      </c>
      <c r="B193" s="474">
        <f>HYPERLINK("http://codeforces.com/contest/670/problem/C","CF670-D2-C")</f>
        <v/>
      </c>
      <c r="C193" s="301" t="n"/>
      <c r="D193" s="295" t="n"/>
      <c r="E193" s="295" t="n"/>
      <c r="F193" s="295" t="n"/>
      <c r="G193" s="295" t="n"/>
      <c r="H193" s="295" t="n"/>
      <c r="I193" s="418">
        <f>SUM(E193:H193)</f>
        <v/>
      </c>
      <c r="J193" s="295" t="n"/>
      <c r="K193" s="295" t="n"/>
      <c r="L193" s="295" t="n"/>
      <c r="M193" s="295" t="n"/>
    </row>
    <row r="194" ht="15.75" customHeight="1" s="279">
      <c r="A194" s="304" t="n"/>
      <c r="B194" s="304" t="n"/>
      <c r="C194" s="433" t="n"/>
      <c r="D194" s="418" t="n"/>
      <c r="E194" s="418" t="n"/>
      <c r="F194" s="418" t="n"/>
      <c r="G194" s="418" t="n"/>
      <c r="H194" s="418" t="n"/>
      <c r="I194" s="404">
        <f>SUM(E194:H194)</f>
        <v/>
      </c>
      <c r="J194" s="404" t="n"/>
      <c r="K194" s="404" t="n"/>
      <c r="L194" s="418" t="n"/>
      <c r="M194" s="295" t="n"/>
    </row>
    <row r="195" ht="15.75" customHeight="1" s="279">
      <c r="A195" s="304" t="inlineStr">
        <is>
          <t>Report</t>
        </is>
      </c>
      <c r="B195" s="474">
        <f>HYPERLINK("http://codeforces.com/contest/631/problem/C","CF631-D2-C")</f>
        <v/>
      </c>
      <c r="C195" s="433" t="n"/>
      <c r="D195" s="418" t="n"/>
      <c r="E195" s="418" t="n"/>
      <c r="F195" s="418" t="n"/>
      <c r="G195" s="418" t="n"/>
      <c r="H195" s="418" t="n"/>
      <c r="I195" s="404">
        <f>SUM(E195:H195)</f>
        <v/>
      </c>
      <c r="J195" s="404" t="n"/>
      <c r="K195" s="404" t="n"/>
      <c r="L195" s="418" t="n"/>
      <c r="M195" s="295" t="n"/>
    </row>
    <row r="196" ht="15.75" customHeight="1" s="279">
      <c r="A196" s="304" t="inlineStr">
        <is>
          <t>Bear and Prime Numbers</t>
        </is>
      </c>
      <c r="B196" s="474">
        <f>HYPERLINK("http://codeforces.com/contest/385/problem/C","CF385-D2-C")</f>
        <v/>
      </c>
      <c r="C196" s="433" t="n"/>
      <c r="D196" s="418" t="n"/>
      <c r="E196" s="418" t="n"/>
      <c r="F196" s="418" t="n"/>
      <c r="G196" s="418" t="n"/>
      <c r="H196" s="418" t="n"/>
      <c r="I196" s="404">
        <f>SUM(E196:H196)</f>
        <v/>
      </c>
      <c r="J196" s="404" t="n"/>
      <c r="K196" s="404" t="n"/>
      <c r="L196" s="418" t="n"/>
      <c r="M196" s="295" t="n"/>
    </row>
    <row r="197" ht="15.75" customHeight="1" s="279">
      <c r="A197" s="304" t="inlineStr">
        <is>
          <t>Robbery</t>
        </is>
      </c>
      <c r="B197" s="474">
        <f>HYPERLINK("http://codeforces.com/contest/90/problem/C","CF90-D2-C")</f>
        <v/>
      </c>
      <c r="C197" s="433" t="n"/>
      <c r="D197" s="418" t="n"/>
      <c r="E197" s="418" t="n"/>
      <c r="F197" s="418" t="n"/>
      <c r="G197" s="418" t="n"/>
      <c r="H197" s="418" t="n"/>
      <c r="I197" s="404">
        <f>SUM(E197:H197)</f>
        <v/>
      </c>
      <c r="J197" s="404" t="n"/>
      <c r="K197" s="404" t="n"/>
      <c r="L197" s="418" t="n"/>
      <c r="M197" s="295" t="n"/>
    </row>
    <row r="198" ht="15.75" customHeight="1" s="279">
      <c r="A198" s="304" t="inlineStr">
        <is>
          <t>Vasya and Basketball</t>
        </is>
      </c>
      <c r="B198" s="474">
        <f>HYPERLINK("http://codeforces.com/contest/493/problem/C","CF493-D2-C")</f>
        <v/>
      </c>
      <c r="C198" s="433" t="n"/>
      <c r="D198" s="418" t="n"/>
      <c r="E198" s="418" t="n"/>
      <c r="F198" s="418" t="n"/>
      <c r="G198" s="418" t="n"/>
      <c r="H198" s="418" t="n"/>
      <c r="I198" s="404">
        <f>SUM(E198:H198)</f>
        <v/>
      </c>
      <c r="J198" s="404" t="n"/>
      <c r="K198" s="404" t="n"/>
      <c r="L198" s="418" t="n"/>
      <c r="M198" s="295" t="n"/>
    </row>
    <row r="199" ht="15.75" customHeight="1" s="279">
      <c r="A199" s="304" t="inlineStr">
        <is>
          <t>Vanya and Scales</t>
        </is>
      </c>
      <c r="B199" s="474">
        <f>HYPERLINK("http://codeforces.com/contest/552/problem/C","CF552-D2-C")</f>
        <v/>
      </c>
      <c r="C199" s="433" t="n"/>
      <c r="D199" s="418" t="n"/>
      <c r="E199" s="418" t="n"/>
      <c r="F199" s="418" t="n"/>
      <c r="G199" s="418" t="n"/>
      <c r="H199" s="418" t="n"/>
      <c r="I199" s="404">
        <f>SUM(E199:H199)</f>
        <v/>
      </c>
      <c r="J199" s="404" t="n"/>
      <c r="K199" s="404" t="n"/>
      <c r="L199" s="418" t="n"/>
      <c r="M199" s="295" t="n"/>
    </row>
    <row r="200" ht="15.75" customHeight="1" s="279">
      <c r="A200" s="304" t="inlineStr">
        <is>
          <t>Pashmak and Buses</t>
        </is>
      </c>
      <c r="B200" s="474">
        <f>HYPERLINK("http://codeforces.com/contest/459/problem/C","CF459-D2-C")</f>
        <v/>
      </c>
      <c r="C200" s="433" t="n"/>
      <c r="D200" s="418" t="n"/>
      <c r="E200" s="418" t="n"/>
      <c r="F200" s="418" t="n"/>
      <c r="G200" s="418" t="n"/>
      <c r="H200" s="418" t="n"/>
      <c r="I200" s="404">
        <f>SUM(E200:H200)</f>
        <v/>
      </c>
      <c r="J200" s="404" t="n"/>
      <c r="K200" s="404" t="n"/>
      <c r="L200" s="418" t="n"/>
      <c r="M200" s="295" t="n"/>
    </row>
    <row r="201" ht="15.75" customHeight="1" s="279">
      <c r="A201" s="295" t="inlineStr">
        <is>
          <t>Fancy Number</t>
        </is>
      </c>
      <c r="B201" s="417">
        <f>HYPERLINK("http://codeforces.com/contest/118/problem/C","CF118-D2-C")</f>
        <v/>
      </c>
      <c r="C201" s="301" t="n"/>
      <c r="D201" s="295" t="n"/>
      <c r="E201" s="295" t="n"/>
      <c r="F201" s="295" t="n"/>
      <c r="G201" s="295" t="n"/>
      <c r="H201" s="295" t="n"/>
      <c r="I201" s="418">
        <f>SUM(E201:H201)</f>
        <v/>
      </c>
      <c r="J201" s="295" t="n"/>
      <c r="K201" s="295" t="n"/>
      <c r="L201" s="295" t="n"/>
      <c r="M201" s="295" t="n"/>
    </row>
  </sheetData>
  <mergeCells count="2">
    <mergeCell ref="J156:M156"/>
    <mergeCell ref="D156:G156"/>
  </mergeCells>
  <conditionalFormatting sqref="K3:K154 K158:K201">
    <cfRule type="cellIs" rank="0" priority="2" equalAverage="0" operator="equal" aboveAverage="0" dxfId="5" text="" percent="0" bottom="0">
      <formula>"No"</formula>
    </cfRule>
    <cfRule type="cellIs" rank="0" priority="3" equalAverage="0" operator="equal" aboveAverage="0" dxfId="5" text="" percent="0" bottom="0">
      <formula>"no"</formula>
    </cfRule>
    <cfRule type="cellIs" rank="0" priority="4" equalAverage="0" operator="equal" aboveAverage="0" dxfId="5" text="" percent="0" bottom="0">
      <formula>"NO"</formula>
    </cfRule>
  </conditionalFormatting>
  <conditionalFormatting sqref="C3:C201">
    <cfRule type="cellIs" rank="0" priority="5" equalAverage="0" operator="equal" aboveAverage="0" dxfId="0" text="" percent="0" bottom="0">
      <formula>"AC"</formula>
    </cfRule>
  </conditionalFormatting>
  <conditionalFormatting sqref="C3:C154 C158:C201">
    <cfRule type="containsText" rank="0" priority="6" equalAverage="0" operator="containsText" aboveAverage="0" dxfId="1" text="WA" percent="0" bottom="0">
      <formula>NOT(ISERROR(SEARCH("WA",C3)))</formula>
    </cfRule>
    <cfRule type="containsText" rank="0" priority="7" equalAverage="0" operator="containsText" aboveAverage="0" dxfId="2" text="TLE" percent="0" bottom="0">
      <formula>NOT(ISERROR(SEARCH("TLE",C3)))</formula>
    </cfRule>
    <cfRule type="containsText" rank="0" priority="8" equalAverage="0" operator="containsText" aboveAverage="0" dxfId="3" text="RTE" percent="0" bottom="0">
      <formula>NOT(ISERROR(SEARCH("RTE",C3)))</formula>
    </cfRule>
    <cfRule type="containsText" rank="0" priority="9" equalAverage="0" operator="containsText" aboveAverage="0" dxfId="4" text="CS" percent="0" bottom="0">
      <formula>NOT(ISERROR(SEARCH("CS",C3)))</formula>
    </cfRule>
  </conditionalFormatting>
  <conditionalFormatting sqref="C19:C201">
    <cfRule type="containsText" rank="0" priority="10" equalAverage="0" operator="containsText" aboveAverage="0" dxfId="1" text="WA" percent="0" bottom="0">
      <formula>NOT(ISERROR(SEARCH("WA",C19)))</formula>
    </cfRule>
    <cfRule type="containsText" rank="0" priority="11" equalAverage="0" operator="containsText" aboveAverage="0" dxfId="2" text="TLE" percent="0" bottom="0">
      <formula>NOT(ISERROR(SEARCH("TLE",C19)))</formula>
    </cfRule>
    <cfRule type="containsText" rank="0" priority="12" equalAverage="0" operator="containsText" aboveAverage="0" dxfId="3" text="RTE" percent="0" bottom="0">
      <formula>NOT(ISERROR(SEARCH("RTE",C19)))</formula>
    </cfRule>
    <cfRule type="containsText" rank="0" priority="13" equalAverage="0" operator="containsText" aboveAverage="0" dxfId="4" text="CS" percent="0" bottom="0">
      <formula>NOT(ISERROR(SEARCH("CS",C19)))</formula>
    </cfRule>
  </conditionalFormatting>
  <hyperlinks>
    <hyperlink xmlns:r="http://schemas.openxmlformats.org/officeDocument/2006/relationships" ref="M11" display="Sol" r:id="rId1"/>
    <hyperlink xmlns:r="http://schemas.openxmlformats.org/officeDocument/2006/relationships" ref="M36" display="Sol" r:id="rId2"/>
    <hyperlink xmlns:r="http://schemas.openxmlformats.org/officeDocument/2006/relationships" ref="B58" display="UVA 453" r:id="rId3"/>
    <hyperlink xmlns:r="http://schemas.openxmlformats.org/officeDocument/2006/relationships" ref="B65" display="UVA 10525" r:id="rId4"/>
    <hyperlink xmlns:r="http://schemas.openxmlformats.org/officeDocument/2006/relationships" ref="M109" display="Sol" r:id="rId5"/>
  </hyperlinks>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M160"/>
  <sheetViews>
    <sheetView showFormulas="0" showGridLines="1" showRowColHeaders="1" showZeros="1" rightToLeft="0" tabSelected="0"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baseColWidth="8" defaultColWidth="15.12890625" defaultRowHeight="15.75" zeroHeight="0" outlineLevelRow="0"/>
  <cols>
    <col width="14.75" customWidth="1" style="278" min="1" max="1"/>
    <col width="17.38" customWidth="1" style="278" min="2" max="2"/>
    <col width="6" customWidth="1" style="278" min="3" max="3"/>
    <col width="6.63" customWidth="1" style="278" min="4" max="4"/>
    <col width="7.38" customWidth="1" style="278" min="5" max="5"/>
    <col width="7.63" customWidth="1" style="278" min="6" max="6"/>
    <col width="8.75" customWidth="1" style="278" min="7" max="7"/>
    <col width="7.5" customWidth="1" style="278" min="8" max="9"/>
    <col width="8.75" customWidth="1" style="278" min="10" max="12"/>
    <col width="61.63" customWidth="1" style="278" min="13" max="13"/>
  </cols>
  <sheetData>
    <row r="1" ht="45.75" customHeight="1" s="279">
      <c r="A1" s="456" t="inlineStr">
        <is>
          <t>Problem Name</t>
        </is>
      </c>
      <c r="B1" s="400" t="inlineStr">
        <is>
          <t>Problem Code</t>
        </is>
      </c>
      <c r="C1" s="401" t="inlineStr">
        <is>
          <t>Status</t>
        </is>
      </c>
      <c r="D1" s="401" t="inlineStr">
        <is>
          <t>Submit Count</t>
        </is>
      </c>
      <c r="E1" s="401" t="inlineStr">
        <is>
          <t>Reading Time(m)</t>
        </is>
      </c>
      <c r="F1" s="401" t="inlineStr">
        <is>
          <t>Thinking Time(m)</t>
        </is>
      </c>
      <c r="G1" s="401" t="inlineStr">
        <is>
          <t>Coding Time(m)</t>
        </is>
      </c>
      <c r="H1" s="401" t="inlineStr">
        <is>
          <t>Debug Time(m)</t>
        </is>
      </c>
      <c r="I1" s="401" t="inlineStr">
        <is>
          <t>Total Time(m)</t>
        </is>
      </c>
      <c r="J1" s="401" t="inlineStr">
        <is>
          <t>Problem Level /10</t>
        </is>
      </c>
      <c r="K1" s="401" t="inlineStr">
        <is>
          <t>By yourself?</t>
        </is>
      </c>
      <c r="L1" s="401" t="inlineStr">
        <is>
          <t>Category</t>
        </is>
      </c>
      <c r="M1" s="402" t="inlineStr">
        <is>
          <t>1-2 line Comments
About your approach</t>
        </is>
      </c>
    </row>
    <row r="2" ht="15.75" customHeight="1" s="279">
      <c r="A2" s="457" t="n"/>
      <c r="B2" s="301" t="inlineStr">
        <is>
          <t>AC Averages =&gt;</t>
        </is>
      </c>
      <c r="C2" s="405">
        <f>COUNTIF(C23:C10545, "AC")</f>
        <v/>
      </c>
      <c r="D2" s="405">
        <f>ROUND(SUMPRODUCT(D23:D10545,INT(eq(C23:C10545, "AC")))/MAX(1, C2),1)</f>
        <v/>
      </c>
      <c r="E2" s="405">
        <f>ROUND(SUMPRODUCT(E23:E10567,INT(eq(C23:C10567, "AC")))/MAX(1, C2),0)</f>
        <v/>
      </c>
      <c r="F2" s="405">
        <f>ROUND(SUMPRODUCT(F23:F10570,INT(eq(C23:C10570, "AC")))/MAX(1, C2),0)</f>
        <v/>
      </c>
      <c r="G2" s="405">
        <f>ROUND(SUMPRODUCT(G23:G10570,INT(eq(C23:C10570, "AC")))/MAX(1, C2),0)</f>
        <v/>
      </c>
      <c r="H2" s="405">
        <f>ROUND(SUMPRODUCT(H23:H10570,INT(eq(C23:C10570, "AC")))/MAX(1, C2),0)</f>
        <v/>
      </c>
      <c r="I2" s="405">
        <f>ROUND(SUMPRODUCT(I23:I10542,INT(eq(C23:C10542, "AC")))/MAX(1, C2),0)</f>
        <v/>
      </c>
      <c r="J2" s="405">
        <f>ROUND(SUMPRODUCT(J23:J10540,INT(eq(C23:C10540, "AC")))/MAX(1, C2),1)</f>
        <v/>
      </c>
      <c r="K2" s="405">
        <f>SUMPRODUCT(eq(K23:K10545, "YES"),INT(eq(C23:C10570, "AC")))</f>
        <v/>
      </c>
      <c r="L2" s="405">
        <f>IFERROR(__xludf.dummyfunction("COUNTA(FILTER(C23:C10037, NOT(REGEXMATCH(C23:C10037, ""AC""))))"),0)</f>
        <v/>
      </c>
      <c r="M2" s="406">
        <f>IFERROR(__xludf.dummyfunction("COUNTA(FILTER(C23:C10031, NOT(REGEXMATCH(C23:C10031, ""AC""))))"),0)</f>
        <v/>
      </c>
    </row>
    <row r="3" ht="15.75" customHeight="1" s="279">
      <c r="A3" s="295" t="inlineStr">
        <is>
          <t>Dividing Island</t>
        </is>
      </c>
      <c r="B3" s="417">
        <f>HYPERLINK("http://codeforces.com/contest/63/problem/D","CF63-D2-D")</f>
        <v/>
      </c>
      <c r="C3" s="295" t="n"/>
      <c r="D3" s="488" t="n"/>
      <c r="E3" s="488" t="n"/>
      <c r="F3" s="295" t="n"/>
      <c r="G3" s="295" t="n"/>
      <c r="H3" s="295" t="n"/>
      <c r="I3" s="418">
        <f>SUM(E3:H3)</f>
        <v/>
      </c>
      <c r="J3" s="295" t="n"/>
      <c r="K3" s="295" t="n"/>
      <c r="L3" s="295" t="n"/>
      <c r="M3" s="295" t="n"/>
    </row>
    <row r="4" ht="15.75" customHeight="1" s="279">
      <c r="A4" s="295" t="inlineStr">
        <is>
          <t>Flowers</t>
        </is>
      </c>
      <c r="B4" s="417">
        <f>HYPERLINK("http://codeforces.com/contest/474/problem/D","CF474-D2-D")</f>
        <v/>
      </c>
      <c r="C4" s="295" t="n"/>
      <c r="D4" s="488" t="n"/>
      <c r="E4" s="488" t="n"/>
      <c r="F4" s="295" t="n"/>
      <c r="G4" s="295" t="n"/>
      <c r="H4" s="295" t="n"/>
      <c r="I4" s="418">
        <f>SUM(E4:H4)</f>
        <v/>
      </c>
      <c r="J4" s="295" t="n"/>
      <c r="K4" s="295" t="n"/>
      <c r="L4" s="295" t="n"/>
      <c r="M4" s="417">
        <f>HYPERLINK("https://www.youtube.com/watch?v=uRCruqJOQXw","Video Solution - Solver to be (Java)")</f>
        <v/>
      </c>
    </row>
    <row r="5" ht="15.75" customHeight="1" s="279">
      <c r="A5" s="295" t="inlineStr">
        <is>
          <t>Dima and Bacteria</t>
        </is>
      </c>
      <c r="B5" s="417">
        <f>HYPERLINK("http://codeforces.com/contest/400/problem/D","CF400-D2-D")</f>
        <v/>
      </c>
      <c r="C5" s="295" t="n"/>
      <c r="D5" s="488" t="n"/>
      <c r="E5" s="488" t="n"/>
      <c r="F5" s="295" t="n"/>
      <c r="G5" s="295" t="n"/>
      <c r="H5" s="295" t="n"/>
      <c r="I5" s="418">
        <f>SUM(E5:H5)</f>
        <v/>
      </c>
      <c r="J5" s="295" t="n"/>
      <c r="K5" s="295" t="n"/>
      <c r="L5" s="295" t="n"/>
      <c r="M5" s="295" t="n"/>
    </row>
    <row r="6" ht="15.75" customHeight="1" s="279">
      <c r="A6" s="295" t="n"/>
      <c r="B6" s="417">
        <f>HYPERLINK("http://codeforces.com/contest/1043/problem/C","CF1043-D12-C")</f>
        <v/>
      </c>
      <c r="C6" s="295" t="n"/>
      <c r="D6" s="488" t="n"/>
      <c r="E6" s="488" t="n"/>
      <c r="F6" s="295" t="n"/>
      <c r="G6" s="295" t="n"/>
      <c r="H6" s="295" t="n"/>
      <c r="I6" s="418">
        <f>SUM(E6:H6)</f>
        <v/>
      </c>
      <c r="J6" s="295" t="n"/>
      <c r="K6" s="295" t="n"/>
      <c r="L6" s="295" t="n"/>
      <c r="M6" s="295" t="n"/>
    </row>
    <row r="7" ht="15.75" customHeight="1" s="279">
      <c r="A7" s="295" t="n"/>
      <c r="B7" s="417">
        <f>HYPERLINK("https://codeforces.com/contest/1033/problem/C","CF1033-D12-C")</f>
        <v/>
      </c>
      <c r="C7" s="295" t="n"/>
      <c r="D7" s="488" t="n"/>
      <c r="E7" s="488" t="n"/>
      <c r="F7" s="295" t="n"/>
      <c r="G7" s="295" t="n"/>
      <c r="H7" s="295" t="n"/>
      <c r="I7" s="418">
        <f>SUM(E7:H7)</f>
        <v/>
      </c>
      <c r="J7" s="295" t="n"/>
      <c r="K7" s="295" t="n"/>
      <c r="L7" s="295" t="n"/>
      <c r="M7" s="295" t="n"/>
    </row>
    <row r="8" ht="15.75" customHeight="1" s="279">
      <c r="A8" s="295" t="n"/>
      <c r="B8" s="417">
        <f>HYPERLINK("https://codeforces.com/contest/1066/problem/E","CF1066-D3-E")</f>
        <v/>
      </c>
      <c r="C8" s="295" t="n"/>
      <c r="D8" s="488" t="n"/>
      <c r="E8" s="488" t="n"/>
      <c r="F8" s="295" t="n"/>
      <c r="G8" s="295" t="n"/>
      <c r="H8" s="295" t="n"/>
      <c r="I8" s="418">
        <f>SUM(E8:H8)</f>
        <v/>
      </c>
      <c r="J8" s="295" t="n"/>
      <c r="K8" s="295" t="n"/>
      <c r="L8" s="295" t="n"/>
      <c r="M8" s="295" t="n"/>
    </row>
    <row r="9" ht="15.75" customHeight="1" s="279">
      <c r="A9" s="295" t="n"/>
      <c r="B9" s="417">
        <f>HYPERLINK("http://codeforces.com/contest/534/problem/D","CF534-D2-D")</f>
        <v/>
      </c>
      <c r="C9" s="295" t="n"/>
      <c r="D9" s="488" t="n"/>
      <c r="E9" s="488" t="n"/>
      <c r="F9" s="295" t="n"/>
      <c r="G9" s="295" t="n"/>
      <c r="H9" s="295" t="n"/>
      <c r="I9" s="418">
        <f>SUM(E9:H9)</f>
        <v/>
      </c>
      <c r="J9" s="295" t="n"/>
      <c r="K9" s="295" t="n"/>
      <c r="L9" s="295" t="n"/>
      <c r="M9" s="295" t="n"/>
    </row>
    <row r="10" ht="15.75" customHeight="1" s="279">
      <c r="A10" s="295" t="n"/>
      <c r="B10" s="417">
        <f>HYPERLINK("http://codeforces.com/problemset/problem/899/E","CF899-D2-E")</f>
        <v/>
      </c>
      <c r="C10" s="295" t="n"/>
      <c r="D10" s="488" t="n"/>
      <c r="E10" s="488" t="n"/>
      <c r="F10" s="295" t="n"/>
      <c r="G10" s="295" t="n"/>
      <c r="H10" s="295" t="n"/>
      <c r="I10" s="418">
        <f>SUM(E10:H10)</f>
        <v/>
      </c>
      <c r="J10" s="295" t="n"/>
      <c r="K10" s="295" t="n"/>
      <c r="L10" s="295" t="n"/>
      <c r="M10" s="295" t="n"/>
    </row>
    <row r="11" ht="15.75" customHeight="1" s="279">
      <c r="A11" s="295" t="n"/>
      <c r="B11" s="417">
        <f>HYPERLINK("http://codeforces.com/contest/729/problem/D","CF729-D12-D")</f>
        <v/>
      </c>
      <c r="C11" s="295" t="n"/>
      <c r="D11" s="488" t="n"/>
      <c r="E11" s="488" t="n"/>
      <c r="F11" s="295" t="n"/>
      <c r="G11" s="295" t="n"/>
      <c r="H11" s="295" t="n"/>
      <c r="I11" s="418">
        <f>SUM(E11:H11)</f>
        <v/>
      </c>
      <c r="J11" s="295" t="n"/>
      <c r="K11" s="295" t="n"/>
      <c r="L11" s="295" t="n"/>
      <c r="M11" s="295" t="n"/>
    </row>
    <row r="12" ht="15.75" customHeight="1" s="279">
      <c r="A12" s="482" t="inlineStr">
        <is>
          <t>Tourist Problem</t>
        </is>
      </c>
      <c r="B12" s="318">
        <f>HYPERLINK("http://codeforces.com/contest/340/problem/C","CF340-D2-C")</f>
        <v/>
      </c>
      <c r="C12" s="295" t="n"/>
      <c r="D12" s="488" t="n"/>
      <c r="E12" s="488" t="n"/>
      <c r="F12" s="295" t="n"/>
      <c r="G12" s="295" t="n"/>
      <c r="H12" s="295" t="n"/>
      <c r="I12" s="418">
        <f>SUM(E12:H12)</f>
        <v/>
      </c>
      <c r="J12" s="295" t="n"/>
      <c r="K12" s="295" t="n"/>
      <c r="L12" s="295" t="n"/>
      <c r="M12" s="295" t="n"/>
    </row>
    <row r="13" ht="15.75" customHeight="1" s="279">
      <c r="A13" s="482" t="inlineStr">
        <is>
          <t>Lorenzo Von Matterhorn</t>
        </is>
      </c>
      <c r="B13" s="318">
        <f>HYPERLINK("http://codeforces.com/contest/697/problem/C","CF697-D2-C")</f>
        <v/>
      </c>
      <c r="C13" s="295" t="n"/>
      <c r="D13" s="488" t="n"/>
      <c r="E13" s="488" t="n"/>
      <c r="F13" s="295" t="n"/>
      <c r="G13" s="295" t="n"/>
      <c r="H13" s="295" t="n"/>
      <c r="I13" s="418">
        <f>SUM(E13:H13)</f>
        <v/>
      </c>
      <c r="J13" s="295" t="n"/>
      <c r="K13" s="295" t="n"/>
      <c r="L13" s="295" t="n"/>
      <c r="M13" s="295" t="n"/>
    </row>
    <row r="14" ht="15.75" customHeight="1" s="279">
      <c r="A14" s="482" t="inlineStr">
        <is>
          <t>Restore Graph</t>
        </is>
      </c>
      <c r="B14" s="318">
        <f>HYPERLINK("http://codeforces.com/contest/404/problem/C","CF404-D2-C")</f>
        <v/>
      </c>
      <c r="C14" s="295" t="n"/>
      <c r="D14" s="488" t="n"/>
      <c r="E14" s="488" t="n"/>
      <c r="F14" s="295" t="n"/>
      <c r="G14" s="295" t="n"/>
      <c r="H14" s="295" t="n"/>
      <c r="I14" s="418">
        <f>SUM(E14:H14)</f>
        <v/>
      </c>
      <c r="J14" s="295" t="n"/>
      <c r="K14" s="295" t="n"/>
      <c r="L14" s="295" t="n"/>
      <c r="M14" s="295" t="n"/>
    </row>
    <row r="15" ht="15.75" customHeight="1" s="279">
      <c r="A15" s="437" t="n"/>
      <c r="B15" s="438">
        <f>HYPERLINK("http://codeforces.com/contest/309/problem/C","CF309-D1-C")</f>
        <v/>
      </c>
      <c r="C15" s="295" t="n"/>
      <c r="D15" s="488" t="n"/>
      <c r="E15" s="488" t="n"/>
      <c r="F15" s="295" t="n"/>
      <c r="G15" s="295" t="n"/>
      <c r="H15" s="295" t="n"/>
      <c r="I15" s="418">
        <f>SUM(E15:H15)</f>
        <v/>
      </c>
      <c r="J15" s="404" t="n"/>
      <c r="K15" s="489" t="n"/>
      <c r="L15" s="295" t="n"/>
      <c r="M15" s="305" t="n"/>
    </row>
    <row r="16" ht="15.75" customHeight="1" s="279">
      <c r="A16" s="437" t="n"/>
      <c r="B16" s="438">
        <f>HYPERLINK("http://codeforces.com/contest/101/problem/B","CF101-D1-B")</f>
        <v/>
      </c>
      <c r="C16" s="295" t="n"/>
      <c r="D16" s="488" t="n"/>
      <c r="E16" s="488" t="n"/>
      <c r="F16" s="295" t="n"/>
      <c r="G16" s="295" t="n"/>
      <c r="H16" s="295" t="n"/>
      <c r="I16" s="418">
        <f>SUM(E16:H16)</f>
        <v/>
      </c>
      <c r="J16" s="404" t="n"/>
      <c r="K16" s="489" t="n"/>
      <c r="L16" s="295" t="n"/>
      <c r="M16" s="474">
        <f>HYPERLINK("https://github.com/Huvok/CompetitiveProgramming/blob/master/Codeforces/CF101-D1-B.cpp","Sol")</f>
        <v/>
      </c>
    </row>
    <row r="17" ht="15.75" customHeight="1" s="279">
      <c r="A17" s="437" t="n"/>
      <c r="B17" s="437" t="inlineStr">
        <is>
          <t>SRM569-D2-1000</t>
        </is>
      </c>
      <c r="C17" s="295" t="n"/>
      <c r="D17" s="488" t="n"/>
      <c r="E17" s="488" t="n"/>
      <c r="F17" s="295" t="n"/>
      <c r="G17" s="295" t="n"/>
      <c r="H17" s="295" t="n"/>
      <c r="I17" s="418">
        <f>SUM(E17:H17)</f>
        <v/>
      </c>
      <c r="J17" s="404" t="n"/>
      <c r="K17" s="489" t="n"/>
      <c r="L17" s="295" t="n"/>
      <c r="M17" s="304" t="n"/>
    </row>
    <row r="18" ht="15.75" customHeight="1" s="279">
      <c r="A18" s="437" t="n"/>
      <c r="B18" s="438">
        <f>HYPERLINK("http://codeforces.com/problemset/problem/961/D","CF961-D12-D")</f>
        <v/>
      </c>
      <c r="C18" s="295" t="n"/>
      <c r="D18" s="488" t="n"/>
      <c r="E18" s="488" t="n"/>
      <c r="F18" s="295" t="n"/>
      <c r="G18" s="295" t="n"/>
      <c r="H18" s="295" t="n"/>
      <c r="I18" s="418">
        <f>SUM(E18:H18)</f>
        <v/>
      </c>
      <c r="J18" s="404" t="n"/>
      <c r="K18" s="489" t="n"/>
      <c r="L18" s="295" t="n"/>
      <c r="M18" s="304" t="n"/>
    </row>
    <row r="19" ht="15.75" customHeight="1" s="279">
      <c r="A19" s="437" t="n"/>
      <c r="B19" s="438">
        <f>HYPERLINK("http://codeforces.com/problemset/problem/955/C","CF955-D2-C")</f>
        <v/>
      </c>
      <c r="C19" s="295" t="n"/>
      <c r="D19" s="488" t="n"/>
      <c r="E19" s="488" t="n"/>
      <c r="F19" s="295" t="n"/>
      <c r="G19" s="295" t="n"/>
      <c r="H19" s="295" t="n"/>
      <c r="I19" s="418">
        <f>SUM(E19:H19)</f>
        <v/>
      </c>
      <c r="J19" s="404" t="n"/>
      <c r="K19" s="489" t="n"/>
      <c r="L19" s="295" t="n"/>
      <c r="M19" s="304" t="n"/>
    </row>
    <row r="20" ht="15.75" customHeight="1" s="279">
      <c r="A20" s="437" t="n"/>
      <c r="B20" s="437" t="inlineStr">
        <is>
          <t>UVA 12869</t>
        </is>
      </c>
      <c r="C20" s="295" t="n"/>
      <c r="D20" s="488" t="n"/>
      <c r="E20" s="488" t="n"/>
      <c r="F20" s="295" t="n"/>
      <c r="G20" s="295" t="n"/>
      <c r="H20" s="295" t="n"/>
      <c r="I20" s="418">
        <f>SUM(E20:H20)</f>
        <v/>
      </c>
      <c r="J20" s="404" t="n"/>
      <c r="K20" s="489" t="n"/>
      <c r="L20" s="295" t="n"/>
      <c r="M20" s="474">
        <f>HYPERLINK("https://pastebin.com/WHzEMUew","Sol")</f>
        <v/>
      </c>
    </row>
    <row r="21" ht="15.75" customHeight="1" s="279">
      <c r="A21" s="437" t="n"/>
      <c r="B21" s="438">
        <f>HYPERLINK("http://codeforces.com/contest/372/problem/B","CF372-D1-B")</f>
        <v/>
      </c>
      <c r="C21" s="295" t="n"/>
      <c r="D21" s="488" t="n"/>
      <c r="E21" s="488" t="n"/>
      <c r="F21" s="295" t="n"/>
      <c r="G21" s="295" t="n"/>
      <c r="H21" s="295" t="n"/>
      <c r="I21" s="418">
        <f>SUM(E21:H21)</f>
        <v/>
      </c>
      <c r="J21" s="404" t="n"/>
      <c r="K21" s="489" t="n"/>
      <c r="L21" s="295" t="n"/>
      <c r="M21" s="304" t="n"/>
    </row>
    <row r="22" ht="15.75" customHeight="1" s="279">
      <c r="A22" s="295" t="n"/>
      <c r="B22" s="295" t="n"/>
      <c r="C22" s="295" t="n"/>
      <c r="D22" s="488" t="n"/>
      <c r="E22" s="488" t="n"/>
      <c r="F22" s="295" t="n"/>
      <c r="G22" s="295" t="n"/>
      <c r="H22" s="295" t="n"/>
      <c r="I22" s="418">
        <f>SUM(E22:H22)</f>
        <v/>
      </c>
      <c r="J22" s="404" t="n"/>
      <c r="K22" s="489" t="n"/>
      <c r="L22" s="295" t="n"/>
      <c r="M22" s="305">
        <f>HYPERLINK("https://www.youtube.com/watch?v=OLu5oskGGqw&amp;list=PLPt2dINI2MIZX2EtY81WI-lDkvhKziLKM&amp;index=11","Watch - Data Structures - Segment Tree (2 vid)")</f>
        <v/>
      </c>
    </row>
    <row r="23" ht="15.75" customHeight="1" s="279">
      <c r="A23" s="490" t="inlineStr">
        <is>
          <t>Interval Product</t>
        </is>
      </c>
      <c r="B23" s="491">
        <f>HYPERLINK("https://uva.onlinejudge.org/index.php?option=com_onlinejudge&amp;Itemid=8&amp;page=show_problem&amp;problem=3977","UVA 12532")</f>
        <v/>
      </c>
      <c r="C23" s="295" t="n"/>
      <c r="D23" s="488" t="n"/>
      <c r="E23" s="488" t="n"/>
      <c r="F23" s="295" t="n"/>
      <c r="G23" s="295" t="n"/>
      <c r="H23" s="295" t="n"/>
      <c r="I23" s="418">
        <f>SUM(E23:H23)</f>
        <v/>
      </c>
      <c r="J23" s="404" t="n"/>
      <c r="K23" s="489" t="n"/>
      <c r="L23" s="295" t="n"/>
      <c r="M23" s="295" t="n"/>
    </row>
    <row r="24" ht="15.75" customHeight="1" s="279">
      <c r="A24" s="490" t="inlineStr">
        <is>
          <t>Potentiometers</t>
        </is>
      </c>
      <c r="B24" s="491">
        <f>HYPERLINK("https://icpcarchive.ecs.baylor.edu/index.php?option=com_onlinejudge&amp;Itemid=8&amp;page=show_problem&amp;problem=192","LIVEARCHIVE 2191")</f>
        <v/>
      </c>
      <c r="C24" s="295" t="n"/>
      <c r="D24" s="488" t="n"/>
      <c r="E24" s="488" t="n"/>
      <c r="F24" s="295" t="n"/>
      <c r="G24" s="295" t="n"/>
      <c r="H24" s="295" t="n"/>
      <c r="I24" s="418">
        <f>SUM(E24:H24)</f>
        <v/>
      </c>
      <c r="J24" s="404" t="n"/>
      <c r="K24" s="489" t="n"/>
      <c r="L24" s="295" t="n"/>
      <c r="M24" s="295" t="n"/>
    </row>
    <row r="25" ht="15.75" customHeight="1" s="279">
      <c r="A25" s="490" t="inlineStr">
        <is>
          <t>Halt The War</t>
        </is>
      </c>
      <c r="B25" s="491">
        <f>HYPERLINK("http://www.spoj.com/problems/CDC12_H","SPOJ CDC12_H")</f>
        <v/>
      </c>
      <c r="C25" s="295" t="n"/>
      <c r="D25" s="488" t="n"/>
      <c r="E25" s="488" t="n"/>
      <c r="F25" s="295" t="n"/>
      <c r="G25" s="295" t="n"/>
      <c r="H25" s="295" t="n"/>
      <c r="I25" s="418">
        <f>SUM(E25:H25)</f>
        <v/>
      </c>
      <c r="J25" s="295" t="n"/>
      <c r="K25" s="295" t="n"/>
      <c r="L25" s="295" t="n"/>
      <c r="M25" s="295" t="n"/>
    </row>
    <row r="26" ht="15.75" customHeight="1" s="279">
      <c r="A26" s="490" t="inlineStr">
        <is>
          <t>Counting Primes</t>
        </is>
      </c>
      <c r="B26" s="491">
        <f>HYPERLINK("http://www.spoj.com/problems/CNTPRIME","SPOJ CNTPRIME")</f>
        <v/>
      </c>
      <c r="C26" s="295" t="n"/>
      <c r="D26" s="488" t="n"/>
      <c r="E26" s="488" t="n"/>
      <c r="F26" s="295" t="n"/>
      <c r="G26" s="295" t="n"/>
      <c r="H26" s="295" t="n"/>
      <c r="I26" s="418">
        <f>SUM(E26:H26)</f>
        <v/>
      </c>
      <c r="J26" s="295" t="n"/>
      <c r="K26" s="295" t="n"/>
      <c r="L26" s="295" t="n"/>
      <c r="M26" s="295" t="n"/>
    </row>
    <row r="27" ht="15.75" customHeight="1" s="279">
      <c r="A27" s="490" t="inlineStr">
        <is>
          <t>Horrible Queries</t>
        </is>
      </c>
      <c r="B27" s="491">
        <f>HYPERLINK("http://www.spoj.com/problems/HORRIBLE","SPOJ HORRIBLE")</f>
        <v/>
      </c>
      <c r="C27" s="295" t="n"/>
      <c r="D27" s="488" t="n"/>
      <c r="E27" s="488" t="n"/>
      <c r="F27" s="295" t="n"/>
      <c r="G27" s="295" t="n"/>
      <c r="H27" s="295" t="n"/>
      <c r="I27" s="418">
        <f>SUM(E27:H27)</f>
        <v/>
      </c>
      <c r="J27" s="295" t="n"/>
      <c r="K27" s="295" t="n"/>
      <c r="L27" s="295" t="n"/>
      <c r="M27" s="295" t="n"/>
    </row>
    <row r="28" ht="15.75" customHeight="1" s="279">
      <c r="A28" s="490" t="inlineStr">
        <is>
          <t>Light Switching</t>
        </is>
      </c>
      <c r="B28" s="491">
        <f>HYPERLINK("http://www.spoj.com/problems/LITE/","SPOJ LITE")</f>
        <v/>
      </c>
      <c r="C28" s="295" t="n"/>
      <c r="D28" s="488" t="n"/>
      <c r="E28" s="488" t="n"/>
      <c r="F28" s="295" t="n"/>
      <c r="G28" s="295" t="n"/>
      <c r="H28" s="295" t="n"/>
      <c r="I28" s="418">
        <f>SUM(E28:H28)</f>
        <v/>
      </c>
      <c r="J28" s="404" t="n"/>
      <c r="K28" s="489" t="n"/>
      <c r="L28" s="295" t="n"/>
      <c r="M28" s="295" t="n"/>
    </row>
    <row r="29" ht="15.75" customHeight="1" s="279">
      <c r="A29" s="490" t="inlineStr">
        <is>
          <t>Circular RMQ</t>
        </is>
      </c>
      <c r="B29" s="491">
        <f>HYPERLINK("http://codeforces.com/contest/52/problem/C","CF52-D12-C")</f>
        <v/>
      </c>
      <c r="C29" s="295" t="n"/>
      <c r="D29" s="488" t="n"/>
      <c r="E29" s="488" t="n"/>
      <c r="F29" s="295" t="n"/>
      <c r="G29" s="295" t="n"/>
      <c r="H29" s="295" t="n"/>
      <c r="I29" s="418">
        <f>SUM(E29:H29)</f>
        <v/>
      </c>
      <c r="J29" s="295" t="n"/>
      <c r="K29" s="295" t="n"/>
      <c r="L29" s="295" t="n"/>
      <c r="M29" s="304" t="n"/>
    </row>
    <row r="30" ht="15.75" customHeight="1" s="279">
      <c r="A30" s="490" t="inlineStr">
        <is>
          <t>A Famous City</t>
        </is>
      </c>
      <c r="B30" s="491">
        <f>HYPERLINK("http://www.spoj.com/problems/CITY2/","SPOJ CITY2")</f>
        <v/>
      </c>
      <c r="C30" s="295" t="n"/>
      <c r="D30" s="488" t="n"/>
      <c r="E30" s="488" t="n"/>
      <c r="F30" s="295" t="n"/>
      <c r="G30" s="295" t="n"/>
      <c r="H30" s="295" t="n"/>
      <c r="I30" s="418">
        <f>SUM(E30:H30)</f>
        <v/>
      </c>
      <c r="J30" s="404" t="n"/>
      <c r="K30" s="404" t="n"/>
      <c r="M30" s="474">
        <f>HYPERLINK("https://github.com/mostafa-saad/MyCompetitiveProgramming/blob/master/SPOJ/SPOJ_CITY2.txt","Sol")</f>
        <v/>
      </c>
    </row>
    <row r="31" ht="15.75" customHeight="1" s="279">
      <c r="A31" s="490" t="inlineStr">
        <is>
          <t>RMQ with Shifts</t>
        </is>
      </c>
      <c r="B31" s="491">
        <f>HYPERLINK("https://uva.onlinejudge.org/index.php?option=com_onlinejudge&amp;Itemid=8&amp;page=show_problem&amp;problem=3720","UVA 12299")</f>
        <v/>
      </c>
      <c r="C31" s="295" t="n"/>
      <c r="D31" s="488" t="n"/>
      <c r="E31" s="488" t="n"/>
      <c r="F31" s="295" t="n"/>
      <c r="G31" s="295" t="n"/>
      <c r="H31" s="295" t="n"/>
      <c r="I31" s="418">
        <f>SUM(E31:H31)</f>
        <v/>
      </c>
      <c r="J31" s="404" t="n"/>
      <c r="K31" s="404" t="n"/>
      <c r="M31" s="474">
        <f>HYPERLINK("https://github.com/Emsawy/CompetitiveProgramming/blob/master/UVA/12299.cpp","See sscanf and sprintf usage")</f>
        <v/>
      </c>
    </row>
    <row r="32" ht="16.5" customHeight="1" s="279">
      <c r="A32" s="490" t="inlineStr">
        <is>
          <t>R2D2 and Droid Army</t>
        </is>
      </c>
      <c r="B32" s="491">
        <f>HYPERLINK("http://codeforces.com/problemset/problem/514/D","CF514-D2-D")</f>
        <v/>
      </c>
      <c r="C32" s="295" t="n"/>
      <c r="D32" s="488" t="n"/>
      <c r="E32" s="488" t="n"/>
      <c r="F32" s="295" t="n"/>
      <c r="G32" s="295" t="n"/>
      <c r="H32" s="295" t="n"/>
      <c r="I32" s="418">
        <f>SUM(E32:H32)</f>
        <v/>
      </c>
      <c r="L32" s="295" t="n"/>
      <c r="M32" s="304" t="inlineStr">
        <is>
          <t>Use rmq</t>
        </is>
      </c>
    </row>
    <row r="33" ht="15.75" customHeight="1" s="279">
      <c r="A33" s="490" t="inlineStr">
        <is>
          <t>Ahoy, Pirates!</t>
        </is>
      </c>
      <c r="B33" s="491">
        <f>HYPERLINK("https://uva.onlinejudge.org/index.php?option=com_onlinejudge&amp;Itemid=8&amp;page=show_problem&amp;problem=2397","UVA 11402")</f>
        <v/>
      </c>
      <c r="C33" s="295" t="n"/>
      <c r="D33" s="488" t="n"/>
      <c r="E33" s="488" t="n"/>
      <c r="F33" s="295" t="n"/>
      <c r="G33" s="295" t="n"/>
      <c r="H33" s="295" t="n"/>
      <c r="I33" s="418">
        <f>SUM(E33:H33)</f>
        <v/>
      </c>
      <c r="J33" s="295" t="n"/>
      <c r="K33" s="295" t="n"/>
      <c r="L33" s="295" t="n"/>
      <c r="M33" s="474">
        <f>HYPERLINK("https://github.com/hosamk92/CompetitiveProgramming/blob/master/UVA/UVA%2011402.cpp","Sol")</f>
        <v/>
      </c>
    </row>
    <row r="34" ht="15.75" customHeight="1" s="279">
      <c r="A34" s="432" t="inlineStr">
        <is>
          <t>Brackets</t>
        </is>
      </c>
      <c r="B34" s="316">
        <f>HYPERLINK("http://www.spoj.com/problems/BRCKTS","SPOJ BRCKTS")</f>
        <v/>
      </c>
      <c r="C34" s="295" t="n"/>
      <c r="D34" s="488" t="n"/>
      <c r="E34" s="488" t="n"/>
      <c r="F34" s="295" t="n"/>
      <c r="G34" s="295" t="n"/>
      <c r="H34" s="295" t="n"/>
      <c r="I34" s="418">
        <f>SUM(E34:H34)</f>
        <v/>
      </c>
      <c r="J34" s="295" t="n"/>
      <c r="K34" s="295" t="n"/>
      <c r="L34" s="295" t="n"/>
      <c r="M34" s="474">
        <f>HYPERLINK("https://github.com/AliOsm/CompetitiveProgramming/blob/master/SPOJ/BRCKTS%20-%20Brackets.cpp","Sol")</f>
        <v/>
      </c>
    </row>
    <row r="35" ht="15.75" customHeight="1" s="279">
      <c r="A35" s="490" t="inlineStr">
        <is>
          <t>Present</t>
        </is>
      </c>
      <c r="B35" s="491">
        <f>HYPERLINK("http://codeforces.com/contest/460/problem/C","CF460-D2-C")</f>
        <v/>
      </c>
      <c r="C35" s="295" t="n"/>
      <c r="D35" s="488" t="n"/>
      <c r="E35" s="488" t="n"/>
      <c r="F35" s="295" t="n"/>
      <c r="G35" s="295" t="n"/>
      <c r="H35" s="295" t="n"/>
      <c r="I35" s="418">
        <f>SUM(E35:H35)</f>
        <v/>
      </c>
      <c r="J35" s="295" t="n"/>
      <c r="K35" s="295" t="n"/>
      <c r="L35" s="295" t="n"/>
      <c r="M35" s="304" t="n"/>
    </row>
    <row r="36" ht="15.75" customHeight="1" s="279">
      <c r="A36" s="317">
        <f>HYPERLINK("https://community.topcoder.com/stat?c=problem_statement&amp;pm=1331&amp;rd=4550","MessageMess")</f>
        <v/>
      </c>
      <c r="B36" s="437" t="inlineStr">
        <is>
          <t>SRM149-D1-500</t>
        </is>
      </c>
      <c r="C36" s="295" t="n"/>
      <c r="D36" s="488" t="n"/>
      <c r="E36" s="488" t="n"/>
      <c r="F36" s="295" t="n"/>
      <c r="G36" s="295" t="n"/>
      <c r="H36" s="295" t="n"/>
      <c r="I36" s="418">
        <f>SUM(E36:H36)</f>
        <v/>
      </c>
      <c r="J36" s="295" t="n"/>
      <c r="K36" s="295" t="n"/>
      <c r="L36" s="295" t="n"/>
      <c r="M36" s="304" t="n"/>
    </row>
    <row r="37" ht="15.75" customHeight="1" s="279">
      <c r="A37" s="438">
        <f>HYPERLINK("https://community.topcoder.com/stat?c=problem_statement&amp;pm=7601&amp;rd=10673","DiceGames")</f>
        <v/>
      </c>
      <c r="B37" s="437" t="inlineStr">
        <is>
          <t>SRM349-D1-500</t>
        </is>
      </c>
      <c r="C37" s="295" t="n"/>
      <c r="D37" s="488" t="n"/>
      <c r="E37" s="488" t="n"/>
      <c r="F37" s="295" t="n"/>
      <c r="G37" s="295" t="n"/>
      <c r="H37" s="295" t="n"/>
      <c r="I37" s="418">
        <f>SUM(E37:H37)</f>
        <v/>
      </c>
      <c r="J37" s="295" t="n"/>
      <c r="K37" s="295" t="n"/>
      <c r="L37" s="295" t="n"/>
      <c r="M37" s="304" t="n"/>
    </row>
    <row r="38" ht="15.75" customHeight="1" s="279">
      <c r="A38" s="437" t="inlineStr">
        <is>
          <t>Mirror, Mirror</t>
        </is>
      </c>
      <c r="B38" s="317">
        <f>HYPERLINK("https://uva.onlinejudge.org/index.php?option=com_onlinejudge&amp;Itemid=8&amp;page=show_problem&amp;problem=407","UVA 466")</f>
        <v/>
      </c>
      <c r="C38" s="295" t="n"/>
      <c r="D38" s="488" t="n"/>
      <c r="E38" s="488" t="n"/>
      <c r="F38" s="295" t="n"/>
      <c r="G38" s="295" t="n"/>
      <c r="H38" s="295" t="n"/>
      <c r="I38" s="418">
        <f>SUM(E38:H38)</f>
        <v/>
      </c>
      <c r="J38" s="295" t="n"/>
      <c r="K38" s="295" t="n"/>
      <c r="L38" s="295" t="n"/>
      <c r="M38" s="304" t="n"/>
    </row>
    <row r="39" ht="15.75" customHeight="1" s="279">
      <c r="A39" s="437" t="inlineStr">
        <is>
          <t>Maximum Sum</t>
        </is>
      </c>
      <c r="B39" s="438">
        <f>HYPERLINK("http://www.spoj.com/problems/KGSS/","SPOJ KGSS")</f>
        <v/>
      </c>
      <c r="C39" s="295" t="n"/>
      <c r="D39" s="488" t="n"/>
      <c r="E39" s="488" t="n"/>
      <c r="F39" s="295" t="n"/>
      <c r="G39" s="295" t="n"/>
      <c r="H39" s="295" t="n"/>
      <c r="I39" s="418">
        <f>SUM(E39:H39)</f>
        <v/>
      </c>
      <c r="J39" s="404" t="n"/>
      <c r="K39" s="404" t="n"/>
      <c r="L39" s="295" t="n"/>
      <c r="M39" s="295" t="n"/>
    </row>
    <row r="40" ht="15.75" customHeight="1" s="279">
      <c r="A40" s="437" t="n"/>
      <c r="B40" s="437" t="inlineStr">
        <is>
          <t>SRM297-D1-500</t>
        </is>
      </c>
      <c r="C40" s="295" t="n"/>
      <c r="D40" s="488" t="n"/>
      <c r="E40" s="488" t="n"/>
      <c r="F40" s="295" t="n"/>
      <c r="G40" s="295" t="n"/>
      <c r="H40" s="295" t="n"/>
      <c r="I40" s="418">
        <f>SUM(E40:H40)</f>
        <v/>
      </c>
      <c r="J40" s="404" t="n"/>
      <c r="K40" s="489" t="n"/>
      <c r="L40" s="295" t="n"/>
      <c r="M40" s="295" t="n"/>
    </row>
    <row r="41" ht="15.75" customHeight="1" s="279">
      <c r="A41" s="437" t="n"/>
      <c r="B41" s="437" t="inlineStr">
        <is>
          <t>SRM441-D1-250</t>
        </is>
      </c>
      <c r="C41" s="295" t="n"/>
      <c r="D41" s="488" t="n"/>
      <c r="E41" s="488" t="n"/>
      <c r="F41" s="295" t="n"/>
      <c r="G41" s="295" t="n"/>
      <c r="H41" s="295" t="n"/>
      <c r="I41" s="418">
        <f>SUM(E41:H41)</f>
        <v/>
      </c>
      <c r="J41" s="404" t="n"/>
      <c r="K41" s="489" t="n"/>
      <c r="L41" s="295" t="n"/>
      <c r="M41" s="295" t="n"/>
    </row>
    <row r="42" ht="15.75" customHeight="1" s="279">
      <c r="A42" s="437" t="n"/>
      <c r="B42" s="438">
        <f>HYPERLINK("http://codeforces.com/contest/201/problem/B","CF201-D1-B")</f>
        <v/>
      </c>
      <c r="C42" s="295" t="n"/>
      <c r="D42" s="488" t="n"/>
      <c r="E42" s="488" t="n"/>
      <c r="F42" s="295" t="n"/>
      <c r="G42" s="295" t="n"/>
      <c r="H42" s="295" t="n"/>
      <c r="I42" s="418">
        <f>SUM(E42:H42)</f>
        <v/>
      </c>
      <c r="J42" s="404" t="n"/>
      <c r="K42" s="489" t="n"/>
      <c r="L42" s="295" t="n"/>
      <c r="M42" s="295" t="n"/>
    </row>
    <row r="43" ht="15.75" customHeight="1" s="279">
      <c r="A43" s="437" t="n"/>
      <c r="B43" s="438">
        <f>HYPERLINK("http://codeforces.com/contest/380/problem/C","CF380-D1-C")</f>
        <v/>
      </c>
      <c r="C43" s="295" t="n"/>
      <c r="D43" s="488" t="n"/>
      <c r="E43" s="488" t="n"/>
      <c r="F43" s="295" t="n"/>
      <c r="G43" s="295" t="n"/>
      <c r="H43" s="295" t="n"/>
      <c r="I43" s="418">
        <f>SUM(E43:H43)</f>
        <v/>
      </c>
      <c r="J43" s="404" t="n"/>
      <c r="K43" s="489" t="n"/>
      <c r="L43" s="295" t="n"/>
      <c r="M43" s="295" t="n"/>
    </row>
    <row r="44" ht="15.75" customHeight="1" s="279">
      <c r="A44" s="437" t="n"/>
      <c r="B44" s="438">
        <f>HYPERLINK("http://codeforces.com/contest/161/problem/D","CF161-D12-D")</f>
        <v/>
      </c>
      <c r="C44" s="295" t="n"/>
      <c r="D44" s="488" t="n"/>
      <c r="E44" s="488" t="n"/>
      <c r="F44" s="295" t="n"/>
      <c r="G44" s="295" t="n"/>
      <c r="H44" s="295" t="n"/>
      <c r="I44" s="418">
        <f>SUM(E44:H44)</f>
        <v/>
      </c>
      <c r="J44" s="404" t="n"/>
      <c r="K44" s="489" t="n"/>
      <c r="L44" s="295" t="n"/>
      <c r="M44" s="463">
        <f>HYPERLINK("https://codeforces.com/blog/entry/20935","Reading: DP on Trees")</f>
        <v/>
      </c>
    </row>
    <row r="45" ht="15.75" customHeight="1" s="279">
      <c r="A45" s="437" t="n"/>
      <c r="B45" s="438">
        <f>HYPERLINK("https://codeforces.com/problemset/problem/61/E","CF61-D2-E")</f>
        <v/>
      </c>
      <c r="C45" s="295" t="n"/>
      <c r="D45" s="295" t="n"/>
      <c r="E45" s="295" t="n"/>
      <c r="F45" s="295" t="n"/>
      <c r="G45" s="295" t="n"/>
      <c r="H45" s="295" t="n"/>
      <c r="I45" s="418">
        <f>SUM(E45:H45)</f>
        <v/>
      </c>
      <c r="J45" s="404" t="n"/>
      <c r="K45" s="489" t="n"/>
      <c r="L45" s="295" t="n"/>
      <c r="M45" s="492" t="n"/>
    </row>
    <row r="46" ht="15.75" customHeight="1" s="279">
      <c r="A46" s="437" t="n"/>
      <c r="B46" s="437" t="inlineStr">
        <is>
          <t>SPOJ KOMPICI</t>
        </is>
      </c>
      <c r="C46" s="295" t="n"/>
      <c r="D46" s="295" t="n"/>
      <c r="E46" s="295" t="n"/>
      <c r="F46" s="295" t="n"/>
      <c r="G46" s="295" t="n"/>
      <c r="H46" s="295" t="n"/>
      <c r="I46" s="418">
        <f>SUM(E46:H46)</f>
        <v/>
      </c>
      <c r="J46" s="404" t="n"/>
      <c r="K46" s="489" t="n"/>
      <c r="L46" s="295" t="n"/>
      <c r="M46" s="295" t="n"/>
    </row>
    <row r="47" ht="15.75" customHeight="1" s="279">
      <c r="A47" s="304" t="n"/>
      <c r="B47" s="421" t="n"/>
      <c r="C47" s="295" t="n"/>
      <c r="D47" s="488" t="n"/>
      <c r="E47" s="488" t="n"/>
      <c r="F47" s="295" t="n"/>
      <c r="G47" s="295" t="n"/>
      <c r="H47" s="295" t="n"/>
      <c r="I47" s="418">
        <f>SUM(E47:H47)</f>
        <v/>
      </c>
      <c r="J47" s="404" t="n"/>
      <c r="K47" s="489" t="n"/>
      <c r="L47" s="295" t="n"/>
      <c r="M47" s="295" t="n"/>
    </row>
    <row r="48" ht="15.75" customHeight="1" s="279">
      <c r="A48" s="304" t="inlineStr">
        <is>
          <t>Quantity of Strings</t>
        </is>
      </c>
      <c r="B48" s="421">
        <f>HYPERLINK("http://codeforces.com/contest/151/problem/D","CF151-D2-D")</f>
        <v/>
      </c>
      <c r="C48" s="295" t="n"/>
      <c r="D48" s="488" t="n"/>
      <c r="E48" s="488" t="n"/>
      <c r="F48" s="295" t="n"/>
      <c r="G48" s="295" t="n"/>
      <c r="H48" s="295" t="n"/>
      <c r="I48" s="418">
        <f>SUM(E48:H48)</f>
        <v/>
      </c>
      <c r="J48" s="404" t="n"/>
      <c r="K48" s="489" t="n"/>
      <c r="L48" s="295" t="n"/>
      <c r="M48" s="295" t="n"/>
    </row>
    <row r="49" ht="15.75" customHeight="1" s="279">
      <c r="A49" s="304" t="inlineStr">
        <is>
          <t>Eternal Victory</t>
        </is>
      </c>
      <c r="B49" s="421">
        <f>HYPERLINK("http://codeforces.com/contest/61/problem/D","CF61-D2-D")</f>
        <v/>
      </c>
      <c r="C49" s="295" t="n"/>
      <c r="D49" s="488" t="n"/>
      <c r="E49" s="488" t="n"/>
      <c r="F49" s="295" t="n"/>
      <c r="G49" s="295" t="n"/>
      <c r="H49" s="295" t="n"/>
      <c r="I49" s="418">
        <f>SUM(E49:H49)</f>
        <v/>
      </c>
      <c r="J49" s="404" t="n"/>
      <c r="K49" s="489" t="n"/>
      <c r="L49" s="295" t="n"/>
      <c r="M49" s="295" t="n"/>
    </row>
    <row r="50" ht="15.75" customHeight="1" s="279">
      <c r="A50" s="304" t="inlineStr">
        <is>
          <t>Array Division</t>
        </is>
      </c>
      <c r="B50" s="474">
        <f>HYPERLINK("http://codeforces.com/contest/808/problem/D","CF808-D2-D")</f>
        <v/>
      </c>
      <c r="C50" s="295" t="n"/>
      <c r="D50" s="488" t="n"/>
      <c r="E50" s="488" t="n"/>
      <c r="F50" s="295" t="n"/>
      <c r="G50" s="295" t="n"/>
      <c r="H50" s="295" t="n"/>
      <c r="I50" s="418">
        <f>SUM(E50:H50)</f>
        <v/>
      </c>
      <c r="J50" s="404" t="n"/>
      <c r="K50" s="489" t="n"/>
      <c r="L50" s="295" t="n"/>
      <c r="M50" s="419">
        <f>HYPERLINK("https://www.youtube.com/watch?v=wL0s8xIQYbk","Video Solution - Solver to be (Java)")</f>
        <v/>
      </c>
    </row>
    <row r="51" ht="15.75" customHeight="1" s="279">
      <c r="A51" s="304" t="n"/>
      <c r="B51" s="474">
        <f>HYPERLINK("http://codeforces.com/contest/45/problem/D","CF45-D12-D")</f>
        <v/>
      </c>
      <c r="C51" s="295" t="n"/>
      <c r="D51" s="488" t="n"/>
      <c r="E51" s="488" t="n"/>
      <c r="F51" s="295" t="n"/>
      <c r="G51" s="295" t="n"/>
      <c r="H51" s="295" t="n"/>
      <c r="I51" s="418">
        <f>SUM(E51:H51)</f>
        <v/>
      </c>
      <c r="J51" s="404" t="n"/>
      <c r="K51" s="489" t="n"/>
      <c r="L51" s="295" t="n"/>
      <c r="M51" s="295" t="n"/>
    </row>
    <row r="52" ht="15.75" customHeight="1" s="279">
      <c r="A52" s="304" t="n"/>
      <c r="B52" s="304" t="inlineStr">
        <is>
          <t>SRM428-D2-1000</t>
        </is>
      </c>
      <c r="C52" s="295" t="n"/>
      <c r="D52" s="488" t="n"/>
      <c r="E52" s="488" t="n"/>
      <c r="F52" s="295" t="n"/>
      <c r="G52" s="295" t="n"/>
      <c r="H52" s="295" t="n"/>
      <c r="I52" s="418">
        <f>SUM(E52:H52)</f>
        <v/>
      </c>
      <c r="J52" s="404" t="n"/>
      <c r="K52" s="489" t="n"/>
      <c r="L52" s="295" t="n"/>
      <c r="M52" s="295" t="n"/>
    </row>
    <row r="53" ht="15.75" customHeight="1" s="279">
      <c r="A53" s="304" t="n"/>
      <c r="B53" s="474">
        <f>HYPERLINK("http://codeforces.com/problemsets/acmsguru/problem/99999/321","SGU 321")</f>
        <v/>
      </c>
      <c r="C53" s="295" t="n"/>
      <c r="D53" s="488" t="n"/>
      <c r="E53" s="488" t="n"/>
      <c r="F53" s="295" t="n"/>
      <c r="G53" s="295" t="n"/>
      <c r="H53" s="295" t="n"/>
      <c r="I53" s="418">
        <f>SUM(E53:H53)</f>
        <v/>
      </c>
      <c r="J53" s="404" t="n"/>
      <c r="K53" s="489" t="n"/>
      <c r="L53" s="295" t="n"/>
      <c r="M53" s="419">
        <f>HYPERLINK("https://github.com/mostafa-saad/MyCompetitiveProgramming/blob/master/SGU/SGU_321.txt","Sol")</f>
        <v/>
      </c>
    </row>
    <row r="54" ht="15.75" customHeight="1" s="279">
      <c r="A54" s="304" t="n"/>
      <c r="B54" s="474">
        <f>HYPERLINK("https://www.codechef.com/LTIME64B/problems/OPPOSITE" , "CODECHEF OPPOSITE")</f>
        <v/>
      </c>
      <c r="C54" s="295" t="n"/>
      <c r="D54" s="488" t="n"/>
      <c r="E54" s="488" t="n"/>
      <c r="F54" s="295" t="n"/>
      <c r="G54" s="295" t="n"/>
      <c r="H54" s="295" t="n"/>
      <c r="I54" s="418">
        <f>SUM(E54:H54)</f>
        <v/>
      </c>
      <c r="J54" s="404" t="n"/>
      <c r="K54" s="489" t="n"/>
      <c r="L54" s="295" t="n"/>
      <c r="M54" s="295" t="n"/>
    </row>
    <row r="55" ht="15.75" customHeight="1" s="279">
      <c r="A55" s="304" t="n"/>
      <c r="B55" s="304" t="inlineStr">
        <is>
          <t>SRM513-D2-1000</t>
        </is>
      </c>
      <c r="C55" s="295" t="n"/>
      <c r="D55" s="488" t="n"/>
      <c r="E55" s="488" t="n"/>
      <c r="F55" s="295" t="n"/>
      <c r="G55" s="295" t="n"/>
      <c r="H55" s="295" t="n"/>
      <c r="I55" s="418">
        <f>SUM(E55:H55)</f>
        <v/>
      </c>
      <c r="J55" s="404" t="n"/>
      <c r="K55" s="489" t="n"/>
      <c r="L55" s="295" t="n"/>
      <c r="M55" s="295" t="n"/>
    </row>
    <row r="56" ht="15.75" customHeight="1" s="279">
      <c r="A56" s="304" t="n"/>
      <c r="B56" s="304" t="inlineStr">
        <is>
          <t>SRM292-D1-500</t>
        </is>
      </c>
      <c r="C56" s="295" t="n"/>
      <c r="D56" s="488" t="n"/>
      <c r="E56" s="488" t="n"/>
      <c r="F56" s="295" t="n"/>
      <c r="G56" s="295" t="n"/>
      <c r="H56" s="295" t="n"/>
      <c r="I56" s="418">
        <f>SUM(E56:H56)</f>
        <v/>
      </c>
      <c r="J56" s="404" t="n"/>
      <c r="K56" s="489" t="n"/>
      <c r="L56" s="295" t="n"/>
      <c r="M56" s="295" t="n"/>
    </row>
    <row r="57" ht="15.75" customHeight="1" s="279">
      <c r="A57" s="304" t="n"/>
      <c r="B57" s="304" t="inlineStr">
        <is>
          <t>SRM405-D2-1000</t>
        </is>
      </c>
      <c r="C57" s="295" t="n"/>
      <c r="D57" s="488" t="n"/>
      <c r="E57" s="488" t="n"/>
      <c r="F57" s="295" t="n"/>
      <c r="G57" s="295" t="n"/>
      <c r="H57" s="295" t="n"/>
      <c r="I57" s="418">
        <f>SUM(E57:H57)</f>
        <v/>
      </c>
      <c r="J57" s="404" t="n"/>
      <c r="K57" s="489" t="n"/>
      <c r="L57" s="295" t="n"/>
      <c r="M57" s="295" t="n"/>
    </row>
    <row r="58" ht="15.75" customHeight="1" s="279">
      <c r="A58" s="482" t="inlineStr">
        <is>
          <t>Hiring Staff</t>
        </is>
      </c>
      <c r="B58" s="318">
        <f>HYPERLINK("http://codeforces.com/contest/216/problem/C","CF216-D2-C")</f>
        <v/>
      </c>
      <c r="C58" s="295" t="n"/>
      <c r="D58" s="488" t="n"/>
      <c r="E58" s="488" t="n"/>
      <c r="F58" s="295" t="n"/>
      <c r="G58" s="295" t="n"/>
      <c r="H58" s="295" t="n"/>
      <c r="I58" s="418">
        <f>SUM(E58:H58)</f>
        <v/>
      </c>
      <c r="J58" s="404" t="n"/>
      <c r="K58" s="489" t="n"/>
      <c r="L58" s="295" t="n"/>
      <c r="M58" s="295" t="n"/>
    </row>
    <row r="59" ht="15.75" customHeight="1" s="279">
      <c r="A59" s="482" t="inlineStr">
        <is>
          <t>Tavas and Karafs</t>
        </is>
      </c>
      <c r="B59" s="318">
        <f>HYPERLINK("http://codeforces.com/contest/535/problem/C","CF535-D2-C")</f>
        <v/>
      </c>
      <c r="C59" s="295" t="n"/>
      <c r="D59" s="488" t="n"/>
      <c r="E59" s="488" t="n"/>
      <c r="F59" s="295" t="n"/>
      <c r="G59" s="295" t="n"/>
      <c r="H59" s="295" t="n"/>
      <c r="I59" s="418">
        <f>SUM(E59:H59)</f>
        <v/>
      </c>
      <c r="J59" s="404" t="n"/>
      <c r="K59" s="489" t="n"/>
      <c r="L59" s="295" t="n"/>
      <c r="M59" s="295" t="n"/>
    </row>
    <row r="60" ht="15.75" customHeight="1" s="279">
      <c r="A60" s="482" t="inlineStr">
        <is>
          <t>Permutations</t>
        </is>
      </c>
      <c r="B60" s="318">
        <f>HYPERLINK("http://codeforces.com/contest/189/problem/C","CF189-D2-C")</f>
        <v/>
      </c>
      <c r="C60" s="295" t="n"/>
      <c r="D60" s="488" t="n"/>
      <c r="E60" s="488" t="n"/>
      <c r="F60" s="295" t="n"/>
      <c r="G60" s="295" t="n"/>
      <c r="H60" s="295" t="n"/>
      <c r="I60" s="418">
        <f>SUM(E60:H60)</f>
        <v/>
      </c>
      <c r="J60" s="404" t="n"/>
      <c r="K60" s="489" t="n"/>
      <c r="M60" s="327">
        <f>HYPERLINK("https://github.com/MedoN11/CompetitiveProgramming/blob/master/CodeForces/CF189-D1-C.cpp","Sol")</f>
        <v/>
      </c>
    </row>
    <row r="61" ht="15.75" customHeight="1" s="279">
      <c r="A61" s="295" t="n"/>
      <c r="B61" s="295" t="n"/>
      <c r="C61" s="295" t="n"/>
      <c r="D61" s="488" t="n"/>
      <c r="E61" s="488" t="n"/>
      <c r="F61" s="295" t="n"/>
      <c r="G61" s="295" t="n"/>
      <c r="H61" s="295" t="n"/>
      <c r="I61" s="418">
        <f>SUM(E61:H61)</f>
        <v/>
      </c>
      <c r="J61" s="295" t="n"/>
      <c r="K61" s="295" t="n"/>
      <c r="L61" s="295" t="n"/>
      <c r="M61" s="430">
        <f>HYPERLINK("https://www.youtube.com/watch?v=n-Xwrr8RFQ0","Watch - Two pointers technique")</f>
        <v/>
      </c>
    </row>
    <row r="62" ht="15.75" customHeight="1" s="279">
      <c r="A62" s="432" t="inlineStr">
        <is>
          <t>Spider's Web</t>
        </is>
      </c>
      <c r="B62" s="316">
        <f>HYPERLINK("http://codeforces.com/contest/216/problem/D","CF216-D2-D")</f>
        <v/>
      </c>
      <c r="C62" s="295" t="n"/>
      <c r="D62" s="488" t="n"/>
      <c r="E62" s="488" t="n"/>
      <c r="F62" s="295" t="n"/>
      <c r="G62" s="295" t="n"/>
      <c r="H62" s="295" t="n"/>
      <c r="I62" s="418">
        <f>SUM(E62:H62)</f>
        <v/>
      </c>
      <c r="J62" s="295" t="n"/>
      <c r="K62" s="295" t="n"/>
      <c r="L62" s="295" t="n"/>
      <c r="M62" s="295" t="n"/>
    </row>
    <row r="63" ht="15.75" customHeight="1" s="279">
      <c r="A63" s="432" t="inlineStr">
        <is>
          <t>Chips</t>
        </is>
      </c>
      <c r="B63" s="316">
        <f>HYPERLINK("http://codeforces.com/contest/334/problem/D","CF334-D2-D")</f>
        <v/>
      </c>
      <c r="C63" s="295" t="n"/>
      <c r="D63" s="488" t="n"/>
      <c r="E63" s="488" t="n"/>
      <c r="F63" s="295" t="n"/>
      <c r="G63" s="295" t="n"/>
      <c r="H63" s="295" t="n"/>
      <c r="I63" s="418">
        <f>SUM(E63:H63)</f>
        <v/>
      </c>
      <c r="J63" s="295" t="n"/>
      <c r="K63" s="295" t="n"/>
      <c r="L63" s="295" t="n"/>
      <c r="M63" s="295" t="n"/>
    </row>
    <row r="64" ht="15.75" customHeight="1" s="279">
      <c r="A64" s="432" t="inlineStr">
        <is>
          <t>Vasya and String</t>
        </is>
      </c>
      <c r="B64" s="316">
        <f>HYPERLINK("http://codeforces.com/contest/676/problem/C","CF676-D2-C")</f>
        <v/>
      </c>
      <c r="C64" s="295" t="n"/>
      <c r="D64" s="488" t="n"/>
      <c r="E64" s="488" t="n"/>
      <c r="F64" s="295" t="n"/>
      <c r="G64" s="295" t="n"/>
      <c r="H64" s="295" t="n"/>
      <c r="I64" s="418">
        <f>SUM(E64:H64)</f>
        <v/>
      </c>
      <c r="J64" s="295" t="n"/>
      <c r="K64" s="295" t="n"/>
      <c r="L64" s="295" t="n"/>
      <c r="M64" s="295" t="n"/>
    </row>
    <row r="65" ht="15.75" customHeight="1" s="279">
      <c r="A65" s="437" t="inlineStr">
        <is>
          <t>The SetStack Computer</t>
        </is>
      </c>
      <c r="B65" s="317">
        <f>HYPERLINK("https://icpcarchive.ecs.baylor.edu/index.php?option=com_onlinejudge&amp;Itemid=8&amp;category=19&amp;page=show_problem&amp;problem=1635","LiveArchive 3634")</f>
        <v/>
      </c>
      <c r="C65" s="295" t="n"/>
      <c r="D65" s="488" t="n"/>
      <c r="E65" s="488" t="n"/>
      <c r="F65" s="295" t="n"/>
      <c r="G65" s="295" t="n"/>
      <c r="H65" s="295" t="n"/>
      <c r="I65" s="418">
        <f>SUM(E65:H65)</f>
        <v/>
      </c>
      <c r="J65" s="295" t="n"/>
      <c r="K65" s="295" t="n"/>
      <c r="L65" s="295" t="n"/>
      <c r="M65" s="327">
        <f>HYPERLINK("https://github.com/SaraElkadi/competitive-programming-/blob/master/LiveArchive/3634.cpp","Sol")</f>
        <v/>
      </c>
    </row>
    <row r="66" ht="15.75" customHeight="1" s="279">
      <c r="A66" s="437" t="inlineStr">
        <is>
          <t>Database</t>
        </is>
      </c>
      <c r="B66" s="317">
        <f>HYPERLINK("https://uva.onlinejudge.org/index.php?option=com_onlinejudge&amp;Itemid=8&amp;page=show_problem&amp;problem=4467","UVA 1592")</f>
        <v/>
      </c>
      <c r="C66" s="295" t="n"/>
      <c r="D66" s="488" t="n"/>
      <c r="E66" s="488" t="n"/>
      <c r="F66" s="295" t="n"/>
      <c r="G66" s="295" t="n"/>
      <c r="H66" s="295" t="n"/>
      <c r="I66" s="418">
        <f>SUM(E66:H66)</f>
        <v/>
      </c>
      <c r="J66" s="295" t="n"/>
      <c r="K66" s="295" t="n"/>
      <c r="L66" s="295" t="n"/>
    </row>
    <row r="67" ht="15.75" customHeight="1" s="279">
      <c r="A67" s="437" t="inlineStr">
        <is>
          <t>Can you answer these queries I</t>
        </is>
      </c>
      <c r="B67" s="317">
        <f>HYPERLINK("http://www.spoj.com/problems/GSS1/","SPOJ GSS1")</f>
        <v/>
      </c>
      <c r="C67" s="295" t="n"/>
      <c r="D67" s="488" t="n"/>
      <c r="E67" s="488" t="n"/>
      <c r="F67" s="295" t="n"/>
      <c r="G67" s="295" t="n"/>
      <c r="H67" s="295" t="n"/>
      <c r="I67" s="418">
        <f>SUM(E67:H67)</f>
        <v/>
      </c>
      <c r="J67" s="295" t="n"/>
      <c r="K67" s="295" t="n"/>
      <c r="L67" s="417" t="n"/>
      <c r="M67" s="327">
        <f>HYPERLINK("https://github.com/AliOsm/CompetitiveProgramming/blob/master/SPOJ/GSS1%20-%20Can%20you%20answer%20these%20queries%20I.cpp","Sol")</f>
        <v/>
      </c>
    </row>
    <row r="68" ht="15.75" customHeight="1" s="279">
      <c r="A68" s="437" t="n"/>
      <c r="B68" s="317">
        <f>HYPERLINK("https://www.spoj.com/problems/BILLIARD/","SPOJ BILLIARD")</f>
        <v/>
      </c>
      <c r="C68" s="295" t="n"/>
      <c r="D68" s="488" t="n"/>
      <c r="E68" s="488" t="n"/>
      <c r="F68" s="295" t="n"/>
      <c r="G68" s="295" t="n"/>
      <c r="H68" s="295" t="n"/>
      <c r="I68" s="418">
        <f>SUM(E68:H68)</f>
        <v/>
      </c>
      <c r="J68" s="295" t="n"/>
      <c r="K68" s="295" t="n"/>
      <c r="L68" s="417" t="n"/>
      <c r="M68" s="327">
        <f>HYPERLINK("https://github.com/osamahatem/CompetitiveProgramming/blob/master/SPOJ/BILLIARD.cpp","Sol")</f>
        <v/>
      </c>
    </row>
    <row r="69" ht="15.75" customHeight="1" s="279">
      <c r="A69" s="437" t="inlineStr">
        <is>
          <t>Can you answer these queries III</t>
        </is>
      </c>
      <c r="B69" s="317">
        <f>HYPERLINK("http://www.spoj.com/problems/GSS3/","SPOJ GSS3")</f>
        <v/>
      </c>
      <c r="C69" s="295" t="n"/>
      <c r="D69" s="488" t="n"/>
      <c r="E69" s="488" t="n"/>
      <c r="F69" s="295" t="n"/>
      <c r="G69" s="295" t="n"/>
      <c r="H69" s="295" t="n"/>
      <c r="I69" s="418">
        <f>SUM(E69:H69)</f>
        <v/>
      </c>
      <c r="J69" s="295" t="n"/>
      <c r="K69" s="295" t="n"/>
      <c r="L69" s="295" t="n"/>
    </row>
    <row r="70" ht="15.75" customHeight="1" s="279">
      <c r="A70" s="437" t="n"/>
      <c r="B70" s="437" t="inlineStr">
        <is>
          <t>SPOJ ABA12E</t>
        </is>
      </c>
      <c r="C70" s="295" t="n"/>
      <c r="D70" s="488" t="n"/>
      <c r="E70" s="488" t="n"/>
      <c r="F70" s="295" t="n"/>
      <c r="G70" s="295" t="n"/>
      <c r="H70" s="295" t="n"/>
      <c r="I70" s="418">
        <f>SUM(E70:H70)</f>
        <v/>
      </c>
      <c r="J70" s="295" t="n"/>
      <c r="K70" s="295" t="n"/>
      <c r="L70" s="295" t="n"/>
      <c r="M70" s="327">
        <f>HYPERLINK("https://github.com/mostafa-saad/MyCompetitiveProgramming/blob/master/SPOJ/SPOJ_ABA12E.txt","Sol")</f>
        <v/>
      </c>
    </row>
    <row r="71" ht="15.75" customHeight="1" s="279">
      <c r="A71" s="437" t="n"/>
      <c r="B71" s="437" t="inlineStr">
        <is>
          <t>UVA 11825</t>
        </is>
      </c>
      <c r="C71" s="295" t="n"/>
      <c r="D71" s="488" t="n"/>
      <c r="E71" s="488" t="n"/>
      <c r="F71" s="295" t="n"/>
      <c r="G71" s="295" t="n"/>
      <c r="H71" s="295" t="n"/>
      <c r="I71" s="418">
        <f>SUM(E71:H71)</f>
        <v/>
      </c>
      <c r="J71" s="295" t="n"/>
      <c r="K71" s="295" t="n"/>
      <c r="L71" s="295" t="n"/>
      <c r="M71" s="327">
        <f>HYPERLINK("https://github.com/ilyesG/Competitive-Programming/blob/master/UVA/UVA%2011825.cpp","Sol")</f>
        <v/>
      </c>
    </row>
    <row r="72" ht="15.75" customHeight="1" s="279">
      <c r="A72" s="437" t="n"/>
      <c r="B72" s="438">
        <f>HYPERLINK("http://codeforces.com/contest/472/problem/D","CF472-D12-D")</f>
        <v/>
      </c>
      <c r="C72" s="295" t="n"/>
      <c r="D72" s="488" t="n"/>
      <c r="E72" s="488" t="n"/>
      <c r="F72" s="295" t="n"/>
      <c r="G72" s="295" t="n"/>
      <c r="H72" s="295" t="n"/>
      <c r="I72" s="418">
        <f>SUM(E72:H72)</f>
        <v/>
      </c>
      <c r="J72" s="295" t="n"/>
      <c r="K72" s="295" t="n"/>
      <c r="L72" s="295" t="n"/>
    </row>
    <row r="73" ht="15.75" customHeight="1" s="279">
      <c r="A73" s="437" t="n"/>
      <c r="B73" s="437" t="inlineStr">
        <is>
          <t>UVA 12325</t>
        </is>
      </c>
      <c r="C73" s="295" t="n"/>
      <c r="D73" s="488" t="n"/>
      <c r="E73" s="488" t="n"/>
      <c r="F73" s="295" t="n"/>
      <c r="G73" s="295" t="n"/>
      <c r="H73" s="295" t="n"/>
      <c r="I73" s="418">
        <f>SUM(E73:H73)</f>
        <v/>
      </c>
      <c r="J73" s="295" t="n"/>
      <c r="K73" s="295" t="n"/>
      <c r="L73" s="295" t="n"/>
      <c r="M73" s="327">
        <f>HYPERLINK("https://github.com/yazanKabbany/CompetitiveProgramming/blob/master/UVA/UVA%2012325.cpp","Prove your Solution")</f>
        <v/>
      </c>
    </row>
    <row r="74" ht="15.75" customHeight="1" s="279">
      <c r="A74" s="437" t="n"/>
      <c r="B74" s="437" t="inlineStr">
        <is>
          <t>UVA 12047</t>
        </is>
      </c>
      <c r="C74" s="295" t="n"/>
      <c r="D74" s="488" t="n"/>
      <c r="E74" s="488" t="n"/>
      <c r="F74" s="295" t="n"/>
      <c r="G74" s="295" t="n"/>
      <c r="H74" s="295" t="n"/>
      <c r="I74" s="418">
        <f>SUM(E74:H74)</f>
        <v/>
      </c>
      <c r="J74" s="295" t="n"/>
      <c r="K74" s="295" t="n"/>
      <c r="L74" s="295" t="n"/>
      <c r="M74" s="327">
        <f>HYPERLINK("https://github.com/ilyesG/Competitive-Programming/blob/master/UVA/UVA%2012047.cpp","Sol")</f>
        <v/>
      </c>
    </row>
    <row r="75" ht="15.75" customHeight="1" s="279">
      <c r="A75" s="437" t="n"/>
      <c r="B75" s="437" t="inlineStr">
        <is>
          <t>UVA 10705</t>
        </is>
      </c>
      <c r="C75" s="295" t="n"/>
      <c r="D75" s="488" t="n"/>
      <c r="E75" s="488" t="n"/>
      <c r="F75" s="295" t="n"/>
      <c r="G75" s="295" t="n"/>
      <c r="H75" s="295" t="n"/>
      <c r="I75" s="418">
        <f>SUM(E75:H75)</f>
        <v/>
      </c>
      <c r="J75" s="295" t="n"/>
      <c r="K75" s="295" t="n"/>
      <c r="L75" s="295" t="n"/>
      <c r="M75" s="327">
        <f>HYPERLINK("https://github.com/ilyesG/Competitive-Programming/blob/master/UVA/UVA%2010705.cpp","Sol")</f>
        <v/>
      </c>
    </row>
    <row r="76" ht="15.75" customHeight="1" s="279">
      <c r="A76" s="437" t="n"/>
      <c r="B76" s="438">
        <f>HYPERLINK("https://uva.onlinejudge.org/index.php?option=onlinejudge&amp;page=show_problem&amp;problem=4330","UVA 1555")</f>
        <v/>
      </c>
      <c r="C76" s="295" t="n"/>
      <c r="D76" s="488" t="n"/>
      <c r="E76" s="488" t="n"/>
      <c r="F76" s="295" t="n"/>
      <c r="G76" s="295" t="n"/>
      <c r="H76" s="295" t="n"/>
      <c r="I76" s="418">
        <f>SUM(E76:H76)</f>
        <v/>
      </c>
      <c r="J76" s="295" t="n"/>
      <c r="K76" s="295" t="n"/>
      <c r="L76" s="295" t="n"/>
      <c r="M76" s="493">
        <f>HYPERLINK("https://github.com/mostafa-saad/MyCompetitiveProgramming/blob/master/UVA/UVA_1555.txt","Sol")</f>
        <v/>
      </c>
    </row>
    <row r="77" ht="15.75" customHeight="1" s="279">
      <c r="A77" s="437" t="n"/>
      <c r="B77" s="438">
        <f>HYPERLINK("http://codeforces.com/contest/80/problem/D","CF80-D2-D")</f>
        <v/>
      </c>
      <c r="C77" s="295" t="n"/>
      <c r="D77" s="488" t="n"/>
      <c r="E77" s="488" t="n"/>
      <c r="F77" s="295" t="n"/>
      <c r="G77" s="295" t="n"/>
      <c r="H77" s="295" t="n"/>
      <c r="I77" s="418">
        <f>SUM(E77:H77)</f>
        <v/>
      </c>
      <c r="J77" s="295" t="n"/>
      <c r="K77" s="295" t="n"/>
      <c r="L77" s="295" t="n"/>
    </row>
    <row r="78" ht="15.75" customHeight="1" s="279">
      <c r="A78" s="420" t="n"/>
      <c r="B78" s="421" t="n"/>
      <c r="C78" s="295" t="n"/>
      <c r="D78" s="488" t="n"/>
      <c r="E78" s="488" t="n"/>
      <c r="F78" s="295" t="n"/>
      <c r="G78" s="295" t="n"/>
      <c r="H78" s="295" t="n"/>
      <c r="I78" s="418">
        <f>SUM(E78:H78)</f>
        <v/>
      </c>
      <c r="J78" s="404" t="n"/>
      <c r="K78" s="489" t="n"/>
      <c r="L78" s="295" t="n"/>
      <c r="M78" s="295" t="n"/>
    </row>
    <row r="79" ht="15.75" customHeight="1" s="279">
      <c r="A79" s="420" t="inlineStr">
        <is>
          <t>Mahmoud and a Dictionary</t>
        </is>
      </c>
      <c r="B79" s="421">
        <f>HYPERLINK("http://codeforces.com/contest/766/problem/D","CF766-D2-D")</f>
        <v/>
      </c>
      <c r="C79" s="295" t="n"/>
      <c r="D79" s="488" t="n"/>
      <c r="E79" s="488" t="n"/>
      <c r="F79" s="295" t="n"/>
      <c r="G79" s="295" t="n"/>
      <c r="H79" s="295" t="n"/>
      <c r="I79" s="418">
        <f>SUM(E79:H79)</f>
        <v/>
      </c>
      <c r="J79" s="404" t="n"/>
      <c r="K79" s="489" t="n"/>
      <c r="L79" s="295" t="n"/>
      <c r="M79" s="419">
        <f>HYPERLINK("https://www.youtube.com/watch?v=W0O3QNh0-DU","Video Solution - Solver to be (Java)")</f>
        <v/>
      </c>
    </row>
    <row r="80" ht="15.75" customHeight="1" s="279">
      <c r="A80" s="420" t="inlineStr">
        <is>
          <t>An overnight dance in discotheque</t>
        </is>
      </c>
      <c r="B80" s="421">
        <f>HYPERLINK("http://codeforces.com/contest/814/problem/D","CF814-D2-D")</f>
        <v/>
      </c>
      <c r="C80" s="295" t="n"/>
      <c r="D80" s="488" t="n"/>
      <c r="E80" s="488" t="n"/>
      <c r="F80" s="295" t="n"/>
      <c r="G80" s="295" t="n"/>
      <c r="H80" s="295" t="n"/>
      <c r="I80" s="418">
        <f>SUM(E80:H80)</f>
        <v/>
      </c>
      <c r="J80" s="404" t="n"/>
      <c r="K80" s="489" t="n"/>
      <c r="L80" s="295" t="n"/>
      <c r="M80" s="419">
        <f>HYPERLINK("https://www.youtube.com/watch?v=UWtHck3a4SA","Video Solution - Solver to be (Java)")</f>
        <v/>
      </c>
    </row>
    <row r="81" ht="15.75" customHeight="1" s="279">
      <c r="A81" s="295" t="inlineStr">
        <is>
          <t>Polyline</t>
        </is>
      </c>
      <c r="B81" s="417">
        <f>HYPERLINK("http://codeforces.com/contest/617/problem/D","CF617-D2-D")</f>
        <v/>
      </c>
      <c r="C81" s="295" t="n"/>
      <c r="D81" s="488" t="n"/>
      <c r="E81" s="488" t="n"/>
      <c r="F81" s="295" t="n"/>
      <c r="G81" s="295" t="n"/>
      <c r="H81" s="295" t="n"/>
      <c r="I81" s="418">
        <f>SUM(E81:H81)</f>
        <v/>
      </c>
      <c r="J81" s="295" t="n"/>
      <c r="K81" s="295" t="n"/>
      <c r="L81" s="295" t="n"/>
      <c r="M81" s="295" t="n"/>
    </row>
    <row r="82" ht="15.75" customHeight="1" s="279">
      <c r="A82" s="295" t="inlineStr">
        <is>
          <t>Queue</t>
        </is>
      </c>
      <c r="B82" s="417">
        <f>HYPERLINK("http://codeforces.com/contest/92/problem/D","CF92-D2-D")</f>
        <v/>
      </c>
      <c r="C82" s="295" t="n"/>
      <c r="D82" s="488" t="n"/>
      <c r="E82" s="488" t="n"/>
      <c r="F82" s="295" t="n"/>
      <c r="G82" s="295" t="n"/>
      <c r="H82" s="295" t="n"/>
      <c r="I82" s="418">
        <f>SUM(E82:H82)</f>
        <v/>
      </c>
      <c r="J82" s="295" t="n"/>
      <c r="K82" s="295" t="n"/>
      <c r="L82" s="295" t="n"/>
      <c r="M82" s="295" t="n"/>
    </row>
    <row r="83" ht="15.75" customHeight="1" s="279">
      <c r="A83" s="295" t="n"/>
      <c r="B83" s="417">
        <f>HYPERLINK("http://codeforces.com/contest/1038/problem/D","CF1038-D2-D")</f>
        <v/>
      </c>
      <c r="C83" s="295" t="n"/>
      <c r="D83" s="488" t="n"/>
      <c r="E83" s="488" t="n"/>
      <c r="F83" s="295" t="n"/>
      <c r="G83" s="295" t="n"/>
      <c r="H83" s="295" t="n"/>
      <c r="I83" s="418">
        <f>SUM(E83:H83)</f>
        <v/>
      </c>
      <c r="J83" s="295" t="n"/>
      <c r="K83" s="295" t="n"/>
      <c r="L83" s="295" t="n"/>
      <c r="M83" s="295" t="n"/>
    </row>
    <row r="84" ht="15.75" customHeight="1" s="279">
      <c r="A84" s="295" t="n"/>
      <c r="B84" s="417">
        <f>HYPERLINK("http://codeforces.com/contest/552/problem/D","CF552-D2-D")</f>
        <v/>
      </c>
      <c r="C84" s="295" t="n"/>
      <c r="D84" s="488" t="n"/>
      <c r="E84" s="488" t="n"/>
      <c r="F84" s="295" t="n"/>
      <c r="G84" s="295" t="n"/>
      <c r="H84" s="295" t="n"/>
      <c r="I84" s="418">
        <f>SUM(E84:H84)</f>
        <v/>
      </c>
      <c r="J84" s="295" t="n"/>
      <c r="K84" s="295" t="n"/>
      <c r="L84" s="295" t="n"/>
      <c r="M84" s="295" t="n"/>
    </row>
    <row r="85" ht="15.75" customHeight="1" s="279">
      <c r="A85" s="295" t="n"/>
      <c r="B85" s="417">
        <f>HYPERLINK("https://codeforces.com/gym/101917/problem/E", "CF101917-D12-E")</f>
        <v/>
      </c>
      <c r="C85" s="295" t="n"/>
      <c r="D85" s="488" t="n"/>
      <c r="E85" s="488" t="n"/>
      <c r="F85" s="295" t="n"/>
      <c r="G85" s="295" t="n"/>
      <c r="H85" s="295" t="n"/>
      <c r="I85" s="418">
        <f>SUM(E85:H85)</f>
        <v/>
      </c>
      <c r="J85" s="295" t="n"/>
      <c r="K85" s="295" t="n"/>
      <c r="L85" s="295" t="n"/>
      <c r="M85" s="295" t="n"/>
    </row>
    <row r="86" ht="15.75" customHeight="1" s="279">
      <c r="A86" s="295" t="n"/>
      <c r="B86" s="417">
        <f>HYPERLINK("http://codeforces.com/contest/1058/problem/D","CF1058-D2-D")</f>
        <v/>
      </c>
      <c r="C86" s="295" t="n"/>
      <c r="D86" s="488" t="n"/>
      <c r="E86" s="488" t="n"/>
      <c r="F86" s="295" t="n"/>
      <c r="G86" s="295" t="n"/>
      <c r="H86" s="295" t="n"/>
      <c r="I86" s="418">
        <f>SUM(E86:H86)</f>
        <v/>
      </c>
      <c r="J86" s="295" t="n"/>
      <c r="K86" s="295" t="n"/>
      <c r="L86" s="295" t="n"/>
      <c r="M86" s="295" t="n"/>
    </row>
    <row r="87" ht="15.75" customHeight="1" s="279">
      <c r="A87" s="295" t="n"/>
      <c r="B87" s="417">
        <f>HYPERLINK("http://codeforces.com/contest/1043/problem/D" , "CF1042-D12-D")</f>
        <v/>
      </c>
      <c r="C87" s="295" t="n"/>
      <c r="D87" s="488" t="n"/>
      <c r="E87" s="488" t="n"/>
      <c r="F87" s="295" t="n"/>
      <c r="G87" s="295" t="n"/>
      <c r="H87" s="295" t="n"/>
      <c r="I87" s="418">
        <f>SUM(E87:H87)</f>
        <v/>
      </c>
      <c r="J87" s="295" t="n"/>
      <c r="K87" s="295" t="n"/>
      <c r="L87" s="295" t="n"/>
      <c r="M87" s="295" t="n"/>
    </row>
    <row r="88" ht="15.75" customHeight="1" s="279">
      <c r="A88" s="437" t="n"/>
      <c r="B88" s="437" t="inlineStr">
        <is>
          <t>SPOJ BIA</t>
        </is>
      </c>
      <c r="C88" s="295" t="n"/>
      <c r="D88" s="488" t="n"/>
      <c r="E88" s="488" t="n"/>
      <c r="F88" s="295" t="n"/>
      <c r="G88" s="295" t="n"/>
      <c r="H88" s="295" t="n"/>
      <c r="I88" s="418">
        <f>SUM(E88:H88)</f>
        <v/>
      </c>
      <c r="J88" s="295" t="n"/>
      <c r="K88" s="295" t="n"/>
      <c r="L88" s="295" t="n"/>
      <c r="M88" s="419">
        <f>HYPERLINK("https://github.com/MNT95/Competitive-Programming/blob/master/SPOJ/BIA.cpp?fbclid=IwAR1xR9CTVVj2L_Hr-1m5uIqAFHRc8Bh78z11v46sPyVjHwHeE3MvPrcMbn8","Sol")</f>
        <v/>
      </c>
    </row>
    <row r="89" ht="15.75" customHeight="1" s="279">
      <c r="A89" s="482" t="inlineStr">
        <is>
          <t>Plant</t>
        </is>
      </c>
      <c r="B89" s="318">
        <f>HYPERLINK("http://codeforces.com/contest/186/problem/C","CF186-D2-C")</f>
        <v/>
      </c>
      <c r="C89" s="295" t="n"/>
      <c r="D89" s="488" t="n"/>
      <c r="E89" s="488" t="n"/>
      <c r="F89" s="295" t="n"/>
      <c r="G89" s="295" t="n"/>
      <c r="H89" s="295" t="n"/>
      <c r="I89" s="418">
        <f>SUM(E89:H89)</f>
        <v/>
      </c>
      <c r="J89" s="295" t="n"/>
      <c r="K89" s="295" t="n"/>
      <c r="L89" s="295" t="n"/>
      <c r="M89" s="295" t="n"/>
    </row>
    <row r="90" ht="15.75" customHeight="1" s="279">
      <c r="A90" s="482" t="inlineStr">
        <is>
          <t>Reberland Linguistics</t>
        </is>
      </c>
      <c r="B90" s="318">
        <f>HYPERLINK("http://codeforces.com/contest/667/problem/C","CF667-D2-C")</f>
        <v/>
      </c>
      <c r="C90" s="295" t="n"/>
      <c r="D90" s="488" t="n"/>
      <c r="E90" s="488" t="n"/>
      <c r="F90" s="295" t="n"/>
      <c r="G90" s="295" t="n"/>
      <c r="H90" s="295" t="n"/>
      <c r="I90" s="418">
        <f>SUM(E90:H90)</f>
        <v/>
      </c>
      <c r="J90" s="295" t="n"/>
      <c r="K90" s="295" t="n"/>
      <c r="L90" s="295" t="n"/>
      <c r="M90" s="295" t="n"/>
    </row>
    <row r="91" ht="15.75" customHeight="1" s="279">
      <c r="A91" s="482" t="inlineStr">
        <is>
          <t>Lucky Permutation</t>
        </is>
      </c>
      <c r="B91" s="318">
        <f>HYPERLINK("http://codeforces.com/contest/287/problem/C","CF287-D2-C")</f>
        <v/>
      </c>
      <c r="C91" s="295" t="n"/>
      <c r="D91" s="488" t="n"/>
      <c r="E91" s="488" t="n"/>
      <c r="F91" s="295" t="n"/>
      <c r="G91" s="295" t="n"/>
      <c r="H91" s="295" t="n"/>
      <c r="I91" s="418">
        <f>SUM(E91:H91)</f>
        <v/>
      </c>
      <c r="J91" s="295" t="n"/>
      <c r="K91" s="295" t="n"/>
      <c r="L91" s="295" t="n"/>
      <c r="M91" s="295" t="n"/>
    </row>
    <row r="92" ht="15.75" customHeight="1" s="279">
      <c r="A92" s="295" t="n"/>
      <c r="B92" s="295" t="n"/>
      <c r="C92" s="295" t="n"/>
      <c r="D92" s="488" t="n"/>
      <c r="E92" s="488" t="n"/>
      <c r="F92" s="295" t="n"/>
      <c r="G92" s="295" t="n"/>
      <c r="H92" s="295" t="n"/>
      <c r="I92" s="418">
        <f>SUM(E92:H92)</f>
        <v/>
      </c>
      <c r="J92" s="295" t="n"/>
      <c r="K92" s="295" t="n"/>
      <c r="L92" s="295" t="n"/>
      <c r="M92" s="430">
        <f>HYPERLINK("https://www.youtube.com/watch?v=nv6Z6n02Oi0","DP - Probability")</f>
        <v/>
      </c>
    </row>
    <row r="93" ht="15.75" customHeight="1" s="279">
      <c r="A93" s="432" t="inlineStr">
        <is>
          <t>Dice Throwing</t>
        </is>
      </c>
      <c r="B93" s="462">
        <f>HYPERLINK("https://uva.onlinejudge.org/index.php?option=com_onlinejudge&amp;Itemid=8&amp;page=show_problem&amp;problem=1700","UVA 10759")</f>
        <v/>
      </c>
      <c r="C93" s="295" t="n"/>
      <c r="D93" s="488" t="n"/>
      <c r="E93" s="488" t="n"/>
      <c r="F93" s="295" t="n"/>
      <c r="G93" s="295" t="n"/>
      <c r="H93" s="295" t="n"/>
      <c r="I93" s="418">
        <f>SUM(E93:H93)</f>
        <v/>
      </c>
      <c r="J93" s="295" t="n"/>
      <c r="K93" s="295" t="n"/>
      <c r="L93" s="295" t="n"/>
      <c r="M93" s="327">
        <f>HYPERLINK("https://github.com/VAMPIER000001/CompetitiveProgramming/blob/master/UVA/V-107/UVa%2010759.cpp","Sol")</f>
        <v/>
      </c>
    </row>
    <row r="94" ht="15.75" customHeight="1" s="279">
      <c r="A94" s="316">
        <f>HYPERLINK("https://community.topcoder.com/stat?c=problem_statement&amp;pm=7422&amp;rd=10663","TestBettingStrategy")</f>
        <v/>
      </c>
      <c r="B94" s="432" t="inlineStr">
        <is>
          <t>SRM339-D1-500</t>
        </is>
      </c>
      <c r="C94" s="295" t="n"/>
      <c r="D94" s="488" t="n"/>
      <c r="E94" s="488" t="n"/>
      <c r="F94" s="295" t="n"/>
      <c r="G94" s="295" t="n"/>
      <c r="H94" s="295" t="n"/>
      <c r="I94" s="418">
        <f>SUM(E94:H94)</f>
        <v/>
      </c>
      <c r="J94" s="295" t="n"/>
      <c r="K94" s="295" t="n"/>
      <c r="L94" s="295" t="n"/>
    </row>
    <row r="95" ht="15.75" customHeight="1" s="279">
      <c r="A95" s="432" t="inlineStr">
        <is>
          <t>Collecting Bugs</t>
        </is>
      </c>
      <c r="B95" s="316">
        <f>HYPERLINK("http://poj.org/problem?id=2096","PKU 2096")</f>
        <v/>
      </c>
      <c r="C95" s="295" t="n"/>
      <c r="D95" s="488" t="n"/>
      <c r="E95" s="488" t="n"/>
      <c r="F95" s="295" t="n"/>
      <c r="G95" s="295" t="n"/>
      <c r="H95" s="295" t="n"/>
      <c r="I95" s="418">
        <f>SUM(E95:H95)</f>
        <v/>
      </c>
      <c r="J95" s="295" t="n"/>
      <c r="K95" s="295" t="n"/>
      <c r="M95" s="327">
        <f>HYPERLINK("https://github.com/MichaelMounir12/CompetitiveProgramming/blob/478ef4641bab747e4fd63fffdff7d55287242921/PKU/PKU_2096.cpp","Sol")</f>
        <v/>
      </c>
    </row>
    <row r="96" ht="15.75" customHeight="1" s="279">
      <c r="A96" s="432" t="inlineStr">
        <is>
          <t>France '98</t>
        </is>
      </c>
      <c r="B96" s="316">
        <f>HYPERLINK("https://uva.onlinejudge.org/index.php?option=onlinejudge&amp;page=show_problem&amp;problem=483","UVA 542")</f>
        <v/>
      </c>
      <c r="C96" s="295" t="n"/>
      <c r="D96" s="488" t="n"/>
      <c r="E96" s="488" t="n"/>
      <c r="F96" s="295" t="n"/>
      <c r="G96" s="295" t="n"/>
      <c r="H96" s="295" t="n"/>
      <c r="I96" s="418">
        <f>SUM(E96:H96)</f>
        <v/>
      </c>
      <c r="J96" s="295" t="n"/>
      <c r="K96" s="295" t="n"/>
      <c r="M96" s="327">
        <f>HYPERLINK("https://github.com/mostafa-saad/MyCompetitiveProgramming/blob/master/UVA/UVA_542.txt","Sol")</f>
        <v/>
      </c>
    </row>
    <row r="97" ht="15.75" customHeight="1" s="279">
      <c r="A97" s="432" t="inlineStr">
        <is>
          <t>Tribbles</t>
        </is>
      </c>
      <c r="B97" s="462">
        <f>HYPERLINK("https://uva.onlinejudge.org/index.php?option=com_onlinejudge&amp;Itemid=8&amp;page=show_problem&amp;problem=1962","UVA 11021")</f>
        <v/>
      </c>
      <c r="C97" s="295" t="n"/>
      <c r="D97" s="488" t="n"/>
      <c r="E97" s="488" t="n"/>
      <c r="F97" s="295" t="n"/>
      <c r="G97" s="295" t="n"/>
      <c r="H97" s="295" t="n"/>
      <c r="I97" s="418">
        <f>SUM(E97:H97)</f>
        <v/>
      </c>
      <c r="J97" s="295" t="n"/>
      <c r="K97" s="295" t="n"/>
      <c r="L97" s="295" t="n"/>
      <c r="M97" s="327">
        <f>HYPERLINK("https://github.com/VAMPIER000001/CompetitiveProgramming/blob/master/UVA/V-110/UVA%2011021.cpp","Sol")</f>
        <v/>
      </c>
    </row>
    <row r="98" ht="15.75" customHeight="1" s="279">
      <c r="A98" s="432" t="inlineStr">
        <is>
          <t>Tennis contest</t>
        </is>
      </c>
      <c r="B98" s="462">
        <f>HYPERLINK("https://uva.onlinejudge.org/index.php?option=com_onlinejudge&amp;Itemid=8&amp;page=show_problem&amp;problem=3888","UVA 12457")</f>
        <v/>
      </c>
      <c r="C98" s="295" t="n"/>
      <c r="D98" s="488" t="n"/>
      <c r="E98" s="488" t="n"/>
      <c r="F98" s="295" t="n"/>
      <c r="G98" s="295" t="n"/>
      <c r="H98" s="295" t="n"/>
      <c r="I98" s="418">
        <f>SUM(E98:H98)</f>
        <v/>
      </c>
      <c r="J98" s="295" t="n"/>
      <c r="K98" s="295" t="n"/>
      <c r="M98" s="327">
        <f>HYPERLINK("https://github.com/3agwa/CompetitiveProgramming/blob/master/UVA/UVA%2012457","Sol")</f>
        <v/>
      </c>
    </row>
    <row r="99" ht="15.75" customHeight="1" s="279">
      <c r="A99" s="437" t="inlineStr">
        <is>
          <t>Water Falls</t>
        </is>
      </c>
      <c r="B99" s="317">
        <f>HYPERLINK("https://uva.onlinejudge.org/index.php?option=com_onlinejudge&amp;Itemid=8&amp;page=show_problem&amp;problem=774","UVA 833")</f>
        <v/>
      </c>
      <c r="C99" s="295" t="n"/>
      <c r="D99" s="488" t="n"/>
      <c r="E99" s="488" t="n"/>
      <c r="F99" s="295" t="n"/>
      <c r="G99" s="295" t="n"/>
      <c r="H99" s="295" t="n"/>
      <c r="I99" s="418">
        <f>SUM(E99:H99)</f>
        <v/>
      </c>
      <c r="J99" s="295" t="n"/>
      <c r="K99" s="295" t="n"/>
    </row>
    <row r="100" ht="15.75" customHeight="1" s="279">
      <c r="A100" s="437" t="inlineStr">
        <is>
          <t>Number Sequence</t>
        </is>
      </c>
      <c r="B100" s="317">
        <f>HYPERLINK("https://uva.onlinejudge.org/index.php?option=com_onlinejudge&amp;Itemid=8&amp;page=show_problem&amp;problem=1647","UVA 10706")</f>
        <v/>
      </c>
      <c r="C100" s="295" t="n"/>
      <c r="D100" s="488" t="n"/>
      <c r="E100" s="488" t="n"/>
      <c r="F100" s="295" t="n"/>
      <c r="G100" s="295" t="n"/>
      <c r="H100" s="295" t="n"/>
      <c r="I100" s="418">
        <f>SUM(E100:H100)</f>
        <v/>
      </c>
      <c r="J100" s="295" t="n"/>
      <c r="K100" s="295" t="n"/>
      <c r="L100" s="295" t="n"/>
    </row>
    <row r="101" ht="15.75" customHeight="1" s="279">
      <c r="A101" s="437" t="inlineStr">
        <is>
          <t>Is It A Tree?</t>
        </is>
      </c>
      <c r="B101" s="317">
        <f>HYPERLINK("https://uva.onlinejudge.org/index.php?option=com_onlinejudge&amp;Itemid=8&amp;page=show_problem&amp;problem=556","UVA 615")</f>
        <v/>
      </c>
      <c r="C101" s="295" t="n"/>
      <c r="D101" s="488" t="n"/>
      <c r="E101" s="488" t="n"/>
      <c r="F101" s="295" t="n"/>
      <c r="G101" s="295" t="n"/>
      <c r="H101" s="295" t="n"/>
      <c r="I101" s="418">
        <f>SUM(E101:H101)</f>
        <v/>
      </c>
      <c r="J101" s="295" t="n"/>
      <c r="K101" s="295" t="n"/>
      <c r="L101" s="295" t="n"/>
    </row>
    <row r="102" ht="15.75" customHeight="1" s="279">
      <c r="A102" s="437" t="inlineStr">
        <is>
          <t>Help R2-D2!</t>
        </is>
      </c>
      <c r="B102" s="438">
        <f>HYPERLINK("http://www.spoj.com/problems/HELPR2D2","SPOJ HELPR2D2")</f>
        <v/>
      </c>
      <c r="C102" s="295" t="n"/>
      <c r="D102" s="488" t="n"/>
      <c r="E102" s="488" t="n"/>
      <c r="F102" s="295" t="n"/>
      <c r="G102" s="295" t="n"/>
      <c r="H102" s="295" t="n"/>
      <c r="I102" s="418">
        <f>SUM(E102:H102)</f>
        <v/>
      </c>
      <c r="J102" s="295" t="n"/>
      <c r="K102" s="295" t="n"/>
      <c r="L102" s="295" t="n"/>
    </row>
    <row r="103" ht="15.75" customHeight="1" s="279">
      <c r="A103" s="437" t="n"/>
      <c r="B103" s="438">
        <f>HYPERLINK("https://github.com/racsosabe/CompetitiveProgramming/blob/master/CodeForces/CF1016-D2-E.cpp","CF1016-D2-E")</f>
        <v/>
      </c>
      <c r="C103" s="295" t="n"/>
      <c r="D103" s="488" t="n"/>
      <c r="E103" s="488" t="n"/>
      <c r="F103" s="295" t="n"/>
      <c r="G103" s="295" t="n"/>
      <c r="H103" s="295" t="n"/>
      <c r="I103" s="418">
        <f>SUM(E103:H103)</f>
        <v/>
      </c>
      <c r="J103" s="404" t="n"/>
      <c r="K103" s="489" t="n"/>
      <c r="L103" s="295" t="n"/>
    </row>
    <row r="104" ht="15.75" customHeight="1" s="279">
      <c r="A104" s="437" t="n"/>
      <c r="B104" s="437" t="inlineStr">
        <is>
          <t>UVA 11997</t>
        </is>
      </c>
      <c r="C104" s="295" t="n"/>
      <c r="D104" s="488" t="n"/>
      <c r="E104" s="488" t="n"/>
      <c r="F104" s="295" t="n"/>
      <c r="G104" s="295" t="n"/>
      <c r="H104" s="295" t="n"/>
      <c r="I104" s="418">
        <f>SUM(E104:H104)</f>
        <v/>
      </c>
      <c r="J104" s="404" t="n"/>
      <c r="K104" s="489" t="n"/>
      <c r="L104" s="295" t="n"/>
      <c r="M104" s="327">
        <f>HYPERLINK("https://github.com/thackerhelik/UVA/blob/master/11997.cpp","Sol")</f>
        <v/>
      </c>
    </row>
    <row r="105" ht="15.75" customHeight="1" s="279">
      <c r="A105" s="437" t="n"/>
      <c r="B105" s="438">
        <f>HYPERLINK("https://www.facebook.com/hackercup/problem/180494849326631/","FbHkrCup 18-R1-A")</f>
        <v/>
      </c>
      <c r="C105" s="295" t="n"/>
      <c r="D105" s="488" t="n"/>
      <c r="E105" s="488" t="n"/>
      <c r="F105" s="295" t="n"/>
      <c r="G105" s="295" t="n"/>
      <c r="H105" s="295" t="n"/>
      <c r="I105" s="418">
        <f>SUM(E105:H105)</f>
        <v/>
      </c>
      <c r="J105" s="404" t="n"/>
      <c r="K105" s="489" t="n"/>
      <c r="L105" s="295" t="n"/>
    </row>
    <row r="106" ht="15.75" customHeight="1" s="279">
      <c r="A106" s="437" t="n"/>
      <c r="B106" s="437" t="inlineStr">
        <is>
          <t>SRM456-D2-1000</t>
        </is>
      </c>
      <c r="C106" s="295" t="n"/>
      <c r="D106" s="488" t="n"/>
      <c r="E106" s="488" t="n"/>
      <c r="F106" s="295" t="n"/>
      <c r="G106" s="295" t="n"/>
      <c r="H106" s="295" t="n"/>
      <c r="I106" s="418">
        <f>SUM(E106:H106)</f>
        <v/>
      </c>
      <c r="J106" s="404" t="n"/>
      <c r="K106" s="489" t="n"/>
      <c r="L106" s="295" t="n"/>
    </row>
    <row r="107" ht="15.75" customHeight="1" s="279">
      <c r="A107" s="304" t="n"/>
      <c r="B107" s="304" t="n"/>
      <c r="C107" s="295" t="n"/>
      <c r="D107" s="488" t="n"/>
      <c r="E107" s="488" t="n"/>
      <c r="F107" s="295" t="n"/>
      <c r="G107" s="295" t="n"/>
      <c r="H107" s="295" t="n"/>
      <c r="I107" s="418">
        <f>SUM(E107:H107)</f>
        <v/>
      </c>
      <c r="J107" s="404" t="n"/>
      <c r="K107" s="489" t="n"/>
      <c r="L107" s="295" t="n"/>
    </row>
    <row r="108" ht="15.75" customHeight="1" s="279">
      <c r="A108" s="304" t="inlineStr">
        <is>
          <t>Andrey and Problem</t>
        </is>
      </c>
      <c r="B108" s="474">
        <f>HYPERLINK("http://codeforces.com/contest/443/problem/D","CF443-D2-D")</f>
        <v/>
      </c>
      <c r="C108" s="295" t="n"/>
      <c r="D108" s="488" t="n"/>
      <c r="E108" s="488" t="n"/>
      <c r="F108" s="295" t="n"/>
      <c r="G108" s="295" t="n"/>
      <c r="H108" s="295" t="n"/>
      <c r="I108" s="418">
        <f>SUM(E108:H108)</f>
        <v/>
      </c>
      <c r="J108" s="295" t="n"/>
      <c r="K108" s="295" t="n"/>
      <c r="M108" s="327">
        <f>HYPERLINK("http://codeforces.com/contest/443/submission/27060632","Sol")</f>
        <v/>
      </c>
    </row>
    <row r="109" ht="15.75" customHeight="1" s="279">
      <c r="A109" s="295" t="inlineStr">
        <is>
          <t>Three Logos</t>
        </is>
      </c>
      <c r="B109" s="417">
        <f>HYPERLINK("http://codeforces.com/contest/581/problem/D","CF581-D2-D")</f>
        <v/>
      </c>
      <c r="C109" s="295" t="n"/>
      <c r="D109" s="488" t="n"/>
      <c r="E109" s="488" t="n"/>
      <c r="F109" s="295" t="n"/>
      <c r="G109" s="295" t="n"/>
      <c r="H109" s="295" t="n"/>
      <c r="I109" s="418">
        <f>SUM(E109:H109)</f>
        <v/>
      </c>
      <c r="J109" s="295" t="n"/>
      <c r="K109" s="295" t="n"/>
      <c r="L109" s="295" t="n"/>
      <c r="M109" s="295" t="n"/>
    </row>
    <row r="110" ht="15.75" customHeight="1" s="279">
      <c r="A110" s="295" t="inlineStr">
        <is>
          <t>Good Sequences</t>
        </is>
      </c>
      <c r="B110" s="417">
        <f>HYPERLINK("http://codeforces.com/contest/265/problem/D","CF265-D2-D")</f>
        <v/>
      </c>
      <c r="C110" s="295" t="n"/>
      <c r="D110" s="488" t="n"/>
      <c r="E110" s="488" t="n"/>
      <c r="F110" s="295" t="n"/>
      <c r="G110" s="295" t="n"/>
      <c r="H110" s="295" t="n"/>
      <c r="I110" s="418">
        <f>SUM(E110:H110)</f>
        <v/>
      </c>
      <c r="J110" s="295" t="n"/>
      <c r="K110" s="295" t="n"/>
      <c r="L110" s="295" t="n"/>
      <c r="M110" s="295" t="n"/>
    </row>
    <row r="111" ht="15.75" customHeight="1" s="279">
      <c r="A111" s="482" t="inlineStr">
        <is>
          <t>Party</t>
        </is>
      </c>
      <c r="B111" s="318">
        <f>HYPERLINK("http://codeforces.com/contest/116/problem/C","CF116-D2-C")</f>
        <v/>
      </c>
      <c r="C111" s="295" t="n"/>
      <c r="D111" s="488" t="n"/>
      <c r="E111" s="488" t="n"/>
      <c r="F111" s="295" t="n"/>
      <c r="G111" s="295" t="n"/>
      <c r="H111" s="295" t="n"/>
      <c r="I111" s="418">
        <f>SUM(E111:H111)</f>
        <v/>
      </c>
      <c r="J111" s="295" t="n"/>
      <c r="K111" s="295" t="n"/>
      <c r="L111" s="295" t="n"/>
      <c r="M111" s="295" t="n"/>
    </row>
    <row r="112" ht="15.75" customHeight="1" s="279">
      <c r="A112" s="482" t="inlineStr">
        <is>
          <t>Cupboard and Balloons</t>
        </is>
      </c>
      <c r="B112" s="318">
        <f>HYPERLINK("http://codeforces.com/contest/342/problem/C","CF342-D2-C")</f>
        <v/>
      </c>
      <c r="C112" s="295" t="n"/>
      <c r="D112" s="488" t="n"/>
      <c r="E112" s="488" t="n"/>
      <c r="F112" s="295" t="n"/>
      <c r="G112" s="295" t="n"/>
      <c r="H112" s="295" t="n"/>
      <c r="I112" s="418">
        <f>SUM(E112:H112)</f>
        <v/>
      </c>
      <c r="J112" s="295" t="n"/>
      <c r="K112" s="295" t="n"/>
      <c r="L112" s="295" t="n"/>
      <c r="M112" s="295" t="n"/>
    </row>
    <row r="113" ht="15.75" customHeight="1" s="279">
      <c r="A113" s="482" t="inlineStr">
        <is>
          <t>Cycles</t>
        </is>
      </c>
      <c r="B113" s="318">
        <f>HYPERLINK("http://codeforces.com/contest/233/problem/C","CF233-D2-C")</f>
        <v/>
      </c>
      <c r="C113" s="295" t="n"/>
      <c r="D113" s="488" t="n"/>
      <c r="E113" s="488" t="n"/>
      <c r="F113" s="295" t="n"/>
      <c r="G113" s="295" t="n"/>
      <c r="H113" s="295" t="n"/>
      <c r="I113" s="418">
        <f>SUM(E113:H113)</f>
        <v/>
      </c>
      <c r="J113" s="295" t="n"/>
      <c r="K113" s="295" t="n"/>
      <c r="L113" s="295" t="n"/>
      <c r="M113" s="295" t="n"/>
    </row>
    <row r="114" ht="15.75" customHeight="1" s="279">
      <c r="A114" s="295" t="n"/>
      <c r="B114" s="295" t="n"/>
      <c r="C114" s="295" t="n"/>
      <c r="D114" s="488" t="n"/>
      <c r="E114" s="488" t="n"/>
      <c r="F114" s="295" t="n"/>
      <c r="G114" s="295" t="n"/>
      <c r="H114" s="295" t="n"/>
      <c r="I114" s="418">
        <f>SUM(E114:H114)</f>
        <v/>
      </c>
      <c r="J114" s="295" t="n"/>
      <c r="K114" s="295" t="n"/>
      <c r="L114" s="295" t="n"/>
      <c r="M114" s="430">
        <f>HYPERLINK("https://www.youtube.com/watch?v=8aATaY9sdeE&amp;index=10&amp;list=PLPt2dINI2MIattDutu7IOAMlUuLeN8k2p&amp;t=3s","DP - Masks (2 vid)")</f>
        <v/>
      </c>
    </row>
    <row r="115" ht="15.75" customHeight="1" s="279">
      <c r="A115" s="432" t="inlineStr">
        <is>
          <t>Pebble Solitaire</t>
        </is>
      </c>
      <c r="B115" s="316">
        <f>HYPERLINK("https://uva.onlinejudge.org/index.php?option=com_onlinejudge&amp;Itemid=8&amp;page=show_problem&amp;problem=1592","UVA 10651")</f>
        <v/>
      </c>
      <c r="C115" s="295" t="n"/>
      <c r="D115" s="488" t="n"/>
      <c r="E115" s="488" t="n"/>
      <c r="F115" s="295" t="n"/>
      <c r="G115" s="295" t="n"/>
      <c r="H115" s="295" t="n"/>
      <c r="I115" s="418">
        <f>SUM(E115:H115)</f>
        <v/>
      </c>
      <c r="J115" s="295" t="n"/>
      <c r="K115" s="295" t="n"/>
      <c r="L115" s="295" t="n"/>
      <c r="M115" s="295" t="n"/>
    </row>
    <row r="116" ht="15.75" customHeight="1" s="279">
      <c r="A116" s="432" t="inlineStr">
        <is>
          <t>Kefa and Dishes</t>
        </is>
      </c>
      <c r="B116" s="316">
        <f>HYPERLINK("http://codeforces.com/contest/580/problem/D","CF580-D2-D")</f>
        <v/>
      </c>
      <c r="C116" s="295" t="n"/>
      <c r="D116" s="488" t="n"/>
      <c r="E116" s="488" t="n"/>
      <c r="F116" s="295" t="n"/>
      <c r="G116" s="295" t="n"/>
      <c r="H116" s="295" t="n"/>
      <c r="I116" s="418">
        <f>SUM(E116:H116)</f>
        <v/>
      </c>
      <c r="J116" s="295" t="n"/>
      <c r="K116" s="295" t="n"/>
      <c r="L116" s="295" t="n"/>
      <c r="M116" s="419">
        <f>HYPERLINK("https://www.youtube.com/watch?v=GvWLpm0tBEU&amp;index=29&amp;list=PLPSFnlxEu99Eds9cvJPk49sljXXvarTxM","Video Solution - Solver to be")</f>
        <v/>
      </c>
    </row>
    <row r="117" ht="15.75" customHeight="1" s="279">
      <c r="A117" s="432" t="inlineStr">
        <is>
          <t>Permutations</t>
        </is>
      </c>
      <c r="B117" s="316">
        <f>HYPERLINK("http://www.spoj.com/problems/PERMUT1/","SPOJ PERMUT1")</f>
        <v/>
      </c>
      <c r="C117" s="295" t="n"/>
      <c r="D117" s="488" t="n"/>
      <c r="E117" s="488" t="n"/>
      <c r="F117" s="295" t="n"/>
      <c r="G117" s="295" t="n"/>
      <c r="H117" s="295" t="n"/>
      <c r="I117" s="418">
        <f>SUM(E117:H117)</f>
        <v/>
      </c>
      <c r="J117" s="295" t="n"/>
      <c r="K117" s="295" t="n"/>
      <c r="L117" s="295" t="n"/>
      <c r="M117" s="295" t="n"/>
    </row>
    <row r="118" ht="15.75" customHeight="1" s="279">
      <c r="A118" s="432" t="inlineStr">
        <is>
          <t>Assignments</t>
        </is>
      </c>
      <c r="B118" s="316">
        <f>HYPERLINK("http://www.spoj.com/problems/ASSIGN/","SPOJ ASSIGN")</f>
        <v/>
      </c>
      <c r="C118" s="295" t="n"/>
      <c r="D118" s="488" t="n"/>
      <c r="E118" s="488" t="n"/>
      <c r="F118" s="295" t="n"/>
      <c r="G118" s="295" t="n"/>
      <c r="H118" s="295" t="n"/>
      <c r="I118" s="418">
        <f>SUM(E118:H118)</f>
        <v/>
      </c>
      <c r="J118" s="295" t="n"/>
      <c r="K118" s="295" t="n"/>
      <c r="L118" s="295" t="n"/>
      <c r="M118" s="295" t="n"/>
    </row>
    <row r="119" ht="15.75" customHeight="1" s="279">
      <c r="A119" s="437" t="n"/>
      <c r="B119" s="317">
        <f>HYPERLINK("http://codeforces.com/contest/16/problem/E","CF16-D2-E")</f>
        <v/>
      </c>
      <c r="C119" s="295" t="n"/>
      <c r="D119" s="488" t="n"/>
      <c r="E119" s="488" t="n"/>
      <c r="F119" s="295" t="n"/>
      <c r="G119" s="295" t="n"/>
      <c r="H119" s="295" t="n"/>
      <c r="I119" s="418">
        <f>SUM(E119:H119)</f>
        <v/>
      </c>
      <c r="J119" s="295" t="n"/>
      <c r="K119" s="295" t="n"/>
      <c r="L119" s="295" t="n"/>
      <c r="M119" s="295" t="n"/>
    </row>
    <row r="120" ht="15.75" customHeight="1" s="279">
      <c r="A120" s="437" t="inlineStr">
        <is>
          <t>Count the Faces.</t>
        </is>
      </c>
      <c r="B120" s="317">
        <f>HYPERLINK("https://uva.onlinejudge.org/index.php?option=onlinejudge&amp;page=show_problem&amp;problem=1119","UVA 10178")</f>
        <v/>
      </c>
      <c r="C120" s="295" t="n"/>
      <c r="D120" s="488" t="n"/>
      <c r="E120" s="488" t="n"/>
      <c r="F120" s="295" t="n"/>
      <c r="G120" s="295" t="n"/>
      <c r="H120" s="295" t="n"/>
      <c r="I120" s="418">
        <f>SUM(E120:H120)</f>
        <v/>
      </c>
      <c r="J120" s="295" t="n"/>
      <c r="K120" s="295" t="n"/>
      <c r="L120" s="295" t="n"/>
      <c r="M120" s="419">
        <f>HYPERLINK("https://en.wikipedia.org/wiki/Planar_graph#Euler's_formula","Read first Euler Formula")</f>
        <v/>
      </c>
    </row>
    <row r="121" ht="15.75" customHeight="1" s="279">
      <c r="A121" s="437" t="inlineStr">
        <is>
          <t>LCM Cardinality</t>
        </is>
      </c>
      <c r="B121" s="317">
        <f>HYPERLINK("https://uva.onlinejudge.org/index.php?option=onlinejudge&amp;page=show_problem&amp;problem=1833","UVA 10892")</f>
        <v/>
      </c>
      <c r="C121" s="295" t="n"/>
      <c r="D121" s="295" t="n"/>
      <c r="E121" s="295" t="n"/>
      <c r="F121" s="295" t="n"/>
      <c r="G121" s="295" t="n"/>
      <c r="H121" s="295" t="n"/>
      <c r="I121" s="418">
        <f>SUM(E121:H121)</f>
        <v/>
      </c>
      <c r="J121" s="295" t="n"/>
      <c r="K121" s="295" t="n"/>
      <c r="L121" s="295" t="n"/>
      <c r="M121" s="295" t="n"/>
    </row>
    <row r="122" ht="15.75" customHeight="1" s="279">
      <c r="A122" s="437" t="inlineStr">
        <is>
          <t>Robot Rapping Results Report time</t>
        </is>
      </c>
      <c r="B122" s="317">
        <f>HYPERLINK("http://codeforces.com/contest/645/problem/D","CF645-D12-D")</f>
        <v/>
      </c>
      <c r="C122" s="295" t="n"/>
      <c r="D122" s="488" t="n"/>
      <c r="E122" s="488" t="n"/>
      <c r="F122" s="295" t="n"/>
      <c r="G122" s="295" t="n"/>
      <c r="H122" s="295" t="n"/>
      <c r="I122" s="418">
        <f>SUM(E122:H122)</f>
        <v/>
      </c>
      <c r="J122" s="295" t="n"/>
      <c r="K122" s="295" t="n"/>
      <c r="L122" s="295" t="n"/>
    </row>
    <row r="123" ht="15.75" customHeight="1" s="279">
      <c r="A123" s="437" t="inlineStr">
        <is>
          <t>Wavio Sequence</t>
        </is>
      </c>
      <c r="B123" s="317">
        <f>HYPERLINK("https://uva.onlinejudge.org/index.php?option=com_onlinejudge&amp;Itemid=8&amp;page=show_problem&amp;problem=1475","UVA 10534")</f>
        <v/>
      </c>
      <c r="C123" s="295" t="n"/>
      <c r="D123" s="295" t="n"/>
      <c r="E123" s="295" t="n"/>
      <c r="F123" s="295" t="n"/>
      <c r="G123" s="295" t="n"/>
      <c r="H123" s="295" t="n"/>
      <c r="I123" s="418">
        <f>SUM(E123:H123)</f>
        <v/>
      </c>
      <c r="J123" s="295" t="n"/>
      <c r="K123" s="295" t="n"/>
      <c r="L123" s="295" t="n"/>
      <c r="M123" s="417">
        <f>HYPERLINK("https://github.com/AliOsm/CompetitiveProgramming/blob/master/UVA/10534%20-%20Wavio%20Sequence.cpp","Sol")</f>
        <v/>
      </c>
    </row>
    <row r="124" ht="15.75" customHeight="1" s="279">
      <c r="A124" s="437" t="n"/>
      <c r="B124" s="437" t="inlineStr">
        <is>
          <t>UVA 10342</t>
        </is>
      </c>
      <c r="C124" s="295" t="n"/>
      <c r="D124" s="488" t="n"/>
      <c r="E124" s="488" t="n"/>
      <c r="F124" s="295" t="n"/>
      <c r="G124" s="295" t="n"/>
      <c r="H124" s="295" t="n"/>
      <c r="I124" s="418">
        <f>SUM(E124:H124)</f>
        <v/>
      </c>
      <c r="J124" s="295" t="n"/>
      <c r="K124" s="295" t="n"/>
      <c r="L124" s="295" t="n"/>
      <c r="M124" s="327">
        <f>HYPERLINK("https://ideone.com/x8zpRc","Sol - read the statement clarification")</f>
        <v/>
      </c>
    </row>
    <row r="125" ht="15.75" customHeight="1" s="279">
      <c r="A125" s="304" t="n"/>
      <c r="B125" s="419" t="n"/>
      <c r="C125" s="295" t="n"/>
      <c r="D125" s="488" t="n"/>
      <c r="E125" s="488" t="n"/>
      <c r="F125" s="295" t="n"/>
      <c r="G125" s="295" t="n"/>
      <c r="H125" s="295" t="n"/>
      <c r="I125" s="418">
        <f>SUM(E125:H125)</f>
        <v/>
      </c>
      <c r="J125" s="404" t="n"/>
      <c r="K125" s="489" t="n"/>
      <c r="L125" s="295" t="n"/>
      <c r="M125" s="295" t="n"/>
    </row>
    <row r="126" ht="15.75" customHeight="1" s="279">
      <c r="A126" s="304" t="inlineStr">
        <is>
          <t>Directed Roads</t>
        </is>
      </c>
      <c r="B126" s="421">
        <f>HYPERLINK("http://codeforces.com/contest/711/problem/D","CF711-D2-D")</f>
        <v/>
      </c>
      <c r="C126" s="295" t="n"/>
      <c r="D126" s="488" t="n"/>
      <c r="E126" s="488" t="n"/>
      <c r="F126" s="295" t="n"/>
      <c r="G126" s="295" t="n"/>
      <c r="H126" s="295" t="n"/>
      <c r="I126" s="418">
        <f>SUM(E126:H126)</f>
        <v/>
      </c>
      <c r="J126" s="404" t="n"/>
      <c r="K126" s="489" t="n"/>
      <c r="L126" s="295" t="n"/>
      <c r="M126" s="295" t="n"/>
    </row>
    <row r="127" ht="15.75" customHeight="1" s="279">
      <c r="A127" s="304" t="inlineStr">
        <is>
          <t>Block Tower</t>
        </is>
      </c>
      <c r="B127" s="421">
        <f>HYPERLINK("http://codeforces.com/contest/327/problem/D","CF327-D2-D")</f>
        <v/>
      </c>
      <c r="C127" s="295" t="n"/>
      <c r="D127" s="488" t="n"/>
      <c r="E127" s="488" t="n"/>
      <c r="F127" s="295" t="n"/>
      <c r="G127" s="295" t="n"/>
      <c r="H127" s="295" t="n"/>
      <c r="I127" s="418">
        <f>SUM(E127:H127)</f>
        <v/>
      </c>
      <c r="J127" s="404" t="n"/>
      <c r="K127" s="489" t="n"/>
      <c r="L127" s="295" t="n"/>
      <c r="M127" s="295" t="n"/>
    </row>
    <row r="128" ht="15.75" customHeight="1" s="279">
      <c r="A128" s="295" t="inlineStr">
        <is>
          <t>A and B and Interesting Substrings</t>
        </is>
      </c>
      <c r="B128" s="417">
        <f>HYPERLINK("http://codeforces.com/contest/519/problem/D","CF519-D2-D")</f>
        <v/>
      </c>
      <c r="C128" s="295" t="n"/>
      <c r="D128" s="488" t="n"/>
      <c r="E128" s="488" t="n"/>
      <c r="F128" s="295" t="n"/>
      <c r="G128" s="295" t="n"/>
      <c r="H128" s="295" t="n"/>
      <c r="I128" s="418">
        <f>SUM(E128:H128)</f>
        <v/>
      </c>
      <c r="J128" s="295" t="n"/>
      <c r="K128" s="295" t="n"/>
      <c r="L128" s="295" t="n"/>
      <c r="M128" s="295" t="n"/>
    </row>
    <row r="129" ht="15.75" customHeight="1" s="279">
      <c r="A129" s="295" t="inlineStr">
        <is>
          <t>As Fast As Possible</t>
        </is>
      </c>
      <c r="B129" s="417">
        <f>HYPERLINK("http://codeforces.com/contest/701/problem/D","CF701-D2-D")</f>
        <v/>
      </c>
      <c r="C129" s="295" t="n"/>
      <c r="D129" s="488" t="n"/>
      <c r="E129" s="488" t="n"/>
      <c r="F129" s="295" t="n"/>
      <c r="G129" s="295" t="n"/>
      <c r="H129" s="295" t="n"/>
      <c r="I129" s="418">
        <f>SUM(E129:H129)</f>
        <v/>
      </c>
      <c r="J129" s="295" t="n"/>
      <c r="K129" s="295" t="n"/>
      <c r="L129" s="295" t="n"/>
      <c r="M129" s="295" t="n"/>
    </row>
    <row r="130" ht="15.75" customHeight="1" s="279">
      <c r="A130" s="295" t="inlineStr">
        <is>
          <t>Chloe and pleasant prizes</t>
        </is>
      </c>
      <c r="B130" s="417">
        <f>HYPERLINK("http://codeforces.com/contest/743/problem/D","CF743-D2-D")</f>
        <v/>
      </c>
      <c r="C130" s="295" t="n"/>
      <c r="D130" s="488" t="n"/>
      <c r="E130" s="488" t="n"/>
      <c r="F130" s="295" t="n"/>
      <c r="G130" s="295" t="n"/>
      <c r="H130" s="295" t="n"/>
      <c r="I130" s="418">
        <f>SUM(E130:H130)</f>
        <v/>
      </c>
      <c r="J130" s="295" t="n"/>
      <c r="K130" s="295" t="n"/>
      <c r="L130" s="295" t="n"/>
      <c r="M130" s="295" t="n"/>
    </row>
    <row r="131" ht="15.75" customHeight="1" s="279">
      <c r="A131" s="482" t="inlineStr">
        <is>
          <t>Roads in Berland</t>
        </is>
      </c>
      <c r="B131" s="318">
        <f>HYPERLINK("http://codeforces.com/contest/25/problem/C","CF25-D2-C")</f>
        <v/>
      </c>
      <c r="C131" s="295" t="n"/>
      <c r="D131" s="488" t="n"/>
      <c r="E131" s="488" t="n"/>
      <c r="F131" s="295" t="n"/>
      <c r="G131" s="295" t="n"/>
      <c r="H131" s="295" t="n"/>
      <c r="I131" s="418">
        <f>SUM(E131:H131)</f>
        <v/>
      </c>
      <c r="J131" s="295" t="n"/>
      <c r="K131" s="295" t="n"/>
      <c r="L131" s="295" t="n"/>
      <c r="M131" s="295" t="n"/>
    </row>
    <row r="132" ht="15.75" customHeight="1" s="279">
      <c r="A132" s="482" t="inlineStr">
        <is>
          <t>Photographer</t>
        </is>
      </c>
      <c r="B132" s="318">
        <f>HYPERLINK("http://codeforces.com/contest/203/problem/C","CF203-D2-C")</f>
        <v/>
      </c>
      <c r="C132" s="295" t="n"/>
      <c r="D132" s="488" t="n"/>
      <c r="E132" s="488" t="n"/>
      <c r="F132" s="295" t="n"/>
      <c r="G132" s="295" t="n"/>
      <c r="H132" s="295" t="n"/>
      <c r="I132" s="418">
        <f>SUM(E132:H132)</f>
        <v/>
      </c>
      <c r="J132" s="295" t="n"/>
      <c r="K132" s="295" t="n"/>
      <c r="L132" s="295" t="n"/>
      <c r="M132" s="295" t="n"/>
    </row>
    <row r="133" ht="15.75" customHeight="1" s="279">
      <c r="A133" s="482" t="inlineStr">
        <is>
          <t>LCM Challenge</t>
        </is>
      </c>
      <c r="B133" s="318">
        <f>HYPERLINK("http://codeforces.com/contest/236/problem/C","CF236-D2-C")</f>
        <v/>
      </c>
      <c r="C133" s="295" t="n"/>
      <c r="D133" s="488" t="n"/>
      <c r="E133" s="488" t="n"/>
      <c r="F133" s="295" t="n"/>
      <c r="G133" s="295" t="n"/>
      <c r="H133" s="295" t="n"/>
      <c r="I133" s="418">
        <f>SUM(E133:H133)</f>
        <v/>
      </c>
      <c r="J133" s="295" t="n"/>
      <c r="K133" s="295" t="n"/>
      <c r="L133" s="295" t="n"/>
      <c r="M133" s="295" t="n"/>
    </row>
    <row r="134" ht="15.75" customHeight="1" s="279">
      <c r="A134" s="295" t="n"/>
      <c r="B134" s="295" t="n"/>
      <c r="C134" s="295" t="n"/>
      <c r="D134" s="488" t="n"/>
      <c r="E134" s="488" t="n"/>
      <c r="F134" s="295" t="n"/>
      <c r="G134" s="295" t="n"/>
      <c r="H134" s="295" t="n"/>
      <c r="I134" s="418">
        <f>SUM(E134:H134)</f>
        <v/>
      </c>
      <c r="J134" s="295" t="n"/>
      <c r="K134" s="295" t="n"/>
      <c r="L134" s="295" t="n"/>
      <c r="M134" s="430">
        <f>HYPERLINK("https://www.youtube.com/watch?v=IGaJWl0jPY4","String Processing - Trie")</f>
        <v/>
      </c>
    </row>
    <row r="135" ht="15.75" customHeight="1" s="279">
      <c r="A135" s="432" t="inlineStr">
        <is>
          <t>Search in the dictionary!</t>
        </is>
      </c>
      <c r="B135" s="316">
        <f>HYPERLINK("http://www.spoj.com/problems/DICT/","SPOJ DICT")</f>
        <v/>
      </c>
      <c r="C135" s="295" t="n"/>
      <c r="D135" s="488" t="n"/>
      <c r="E135" s="488" t="n"/>
      <c r="F135" s="295" t="n"/>
      <c r="G135" s="295" t="n"/>
      <c r="H135" s="295" t="n"/>
      <c r="I135" s="418">
        <f>SUM(E135:H135)</f>
        <v/>
      </c>
      <c r="J135" s="295" t="n"/>
      <c r="K135" s="295" t="n"/>
      <c r="L135" s="295" t="n"/>
      <c r="M135" s="295" t="n"/>
    </row>
    <row r="136" ht="15.75" customHeight="1" s="279">
      <c r="A136" s="432" t="inlineStr">
        <is>
          <t>Disk Tree</t>
        </is>
      </c>
      <c r="B136" s="316">
        <f>HYPERLINK("https://uva.onlinejudge.org/index.php?option=com_onlinejudge&amp;Itemid=8&amp;page=show_problem&amp;problem=4331","UVA 1556")</f>
        <v/>
      </c>
      <c r="C136" s="295" t="n"/>
      <c r="D136" s="488" t="n"/>
      <c r="E136" s="488" t="n"/>
      <c r="F136" s="295" t="n"/>
      <c r="G136" s="295" t="n"/>
      <c r="H136" s="295" t="n"/>
      <c r="I136" s="418">
        <f>SUM(E136:H136)</f>
        <v/>
      </c>
      <c r="J136" s="295" t="n"/>
      <c r="K136" s="295" t="n"/>
      <c r="L136" s="295" t="n"/>
      <c r="M136" s="295" t="n"/>
    </row>
    <row r="137" ht="23.25" customHeight="1" s="279">
      <c r="A137" s="432" t="inlineStr">
        <is>
          <t>Phone List</t>
        </is>
      </c>
      <c r="B137" s="316">
        <f>HYPERLINK("http://www.spoj.com/problems/PHONELST/","SPOJ PHONELST")</f>
        <v/>
      </c>
      <c r="C137" s="295" t="n"/>
      <c r="D137" s="488" t="n"/>
      <c r="E137" s="488" t="n"/>
      <c r="F137" s="295" t="n"/>
      <c r="G137" s="295" t="n"/>
      <c r="H137" s="295" t="n"/>
      <c r="I137" s="418">
        <f>SUM(E137:H137)</f>
        <v/>
      </c>
      <c r="J137" s="295" t="n"/>
      <c r="K137" s="295" t="n"/>
      <c r="L137" s="295" t="n"/>
      <c r="M137" s="295" t="n"/>
    </row>
    <row r="138" ht="15.75" customHeight="1" s="279">
      <c r="A138" s="432" t="inlineStr">
        <is>
          <t>Cellphone Typing</t>
        </is>
      </c>
      <c r="B138" s="316">
        <f>HYPERLINK("https://uva.onlinejudge.org/index.php?option=com_onlinejudge&amp;Itemid=8&amp;page=show_problem&amp;problem=3971","UVA 12526")</f>
        <v/>
      </c>
      <c r="C138" s="295" t="n"/>
      <c r="D138" s="488" t="n"/>
      <c r="E138" s="488" t="n"/>
      <c r="F138" s="295" t="n"/>
      <c r="G138" s="295" t="n"/>
      <c r="H138" s="295" t="n"/>
      <c r="I138" s="418">
        <f>SUM(E138:H138)</f>
        <v/>
      </c>
      <c r="J138" s="295" t="n"/>
      <c r="K138" s="295" t="n"/>
      <c r="L138" s="295" t="n"/>
      <c r="M138" s="295" t="n"/>
    </row>
    <row r="139" ht="15.75" customHeight="1" s="279">
      <c r="A139" s="432" t="inlineStr">
        <is>
          <t>Vasiliy's Multiset</t>
        </is>
      </c>
      <c r="B139" s="316">
        <f>HYPERLINK("http://codeforces.com/contest/706/problem/D","CF706-D2-D")</f>
        <v/>
      </c>
      <c r="C139" s="295" t="n"/>
      <c r="D139" s="488" t="n"/>
      <c r="E139" s="488" t="n"/>
      <c r="F139" s="295" t="n"/>
      <c r="G139" s="295" t="n"/>
      <c r="H139" s="295" t="n"/>
      <c r="I139" s="418">
        <f>SUM(E139:H139)</f>
        <v/>
      </c>
      <c r="J139" s="295" t="n"/>
      <c r="K139" s="295" t="n"/>
      <c r="L139" s="295" t="n"/>
      <c r="M139" s="295" t="n"/>
    </row>
    <row r="140" ht="15.75" customHeight="1" s="279">
      <c r="A140" s="437" t="inlineStr">
        <is>
          <t>Exchange Rates</t>
        </is>
      </c>
      <c r="B140" s="317">
        <f>HYPERLINK("https://uva.onlinejudge.org/index.php?option=onlinejudge&amp;page=show_problem&amp;problem=1054","UVA 10113")</f>
        <v/>
      </c>
      <c r="C140" s="295" t="n"/>
      <c r="D140" s="488" t="n"/>
      <c r="E140" s="488" t="n"/>
      <c r="F140" s="295" t="n"/>
      <c r="G140" s="295" t="n"/>
      <c r="H140" s="295" t="n"/>
      <c r="I140" s="418">
        <f>SUM(E140:H140)</f>
        <v/>
      </c>
      <c r="J140" s="295" t="n"/>
      <c r="K140" s="295" t="n"/>
      <c r="L140" s="295" t="n"/>
      <c r="M140" s="295" t="n"/>
    </row>
    <row r="141" ht="15.75" customHeight="1" s="279">
      <c r="A141" s="437" t="inlineStr">
        <is>
          <t>Equation</t>
        </is>
      </c>
      <c r="B141" s="317">
        <f>HYPERLINK("https://uva.onlinejudge.org/index.php?option=com_onlinejudge&amp;Itemid=8&amp;page=show_problem&amp;problem=668","UVA 727")</f>
        <v/>
      </c>
      <c r="C141" s="295" t="n"/>
      <c r="D141" s="295" t="n"/>
      <c r="E141" s="295" t="n"/>
      <c r="F141" s="295" t="n"/>
      <c r="G141" s="295" t="n"/>
      <c r="H141" s="295" t="n"/>
      <c r="I141" s="418">
        <f>SUM(E141:H141)</f>
        <v/>
      </c>
      <c r="J141" s="295" t="n"/>
      <c r="K141" s="295" t="n"/>
      <c r="L141" s="295" t="n"/>
      <c r="M141" s="295" t="n"/>
    </row>
    <row r="142" ht="15.75" customHeight="1" s="279">
      <c r="A142" s="437" t="inlineStr">
        <is>
          <t>Safe</t>
        </is>
      </c>
      <c r="B142" s="317">
        <f>HYPERLINK("http://codeforces.com/contest/47/problem/D","CF47-D2-D")</f>
        <v/>
      </c>
      <c r="C142" s="295" t="n"/>
      <c r="D142" s="295" t="n"/>
      <c r="E142" s="295" t="n"/>
      <c r="F142" s="295" t="n"/>
      <c r="G142" s="295" t="n"/>
      <c r="H142" s="295" t="n"/>
      <c r="I142" s="418">
        <f>SUM(E142:H142)</f>
        <v/>
      </c>
      <c r="J142" s="295" t="n"/>
      <c r="K142" s="295" t="n"/>
      <c r="L142" s="295" t="n"/>
      <c r="M142" s="295" t="n"/>
    </row>
    <row r="143" ht="15.75" customHeight="1" s="279">
      <c r="A143" s="437" t="inlineStr">
        <is>
          <t>Central Post Office</t>
        </is>
      </c>
      <c r="B143" s="317">
        <f>HYPERLINK("https://uva.onlinejudge.org/index.php?option=onlinejudge&amp;page=show_problem&amp;problem=3801","UVA 12379")</f>
        <v/>
      </c>
      <c r="C143" s="295" t="n"/>
      <c r="D143" s="488" t="n"/>
      <c r="E143" s="488" t="n"/>
      <c r="F143" s="295" t="n"/>
      <c r="G143" s="295" t="n"/>
      <c r="H143" s="295" t="n"/>
      <c r="I143" s="418">
        <f>SUM(E143:H143)</f>
        <v/>
      </c>
      <c r="J143" s="295" t="n"/>
      <c r="K143" s="295" t="n"/>
      <c r="L143" s="295" t="n"/>
      <c r="M143" s="327">
        <f>HYPERLINK("https://github.com/abdullaAshraf/Problem-Solving/blob/master/UVA/12379.cpp","Sol")</f>
        <v/>
      </c>
    </row>
    <row r="144" ht="15.75" customHeight="1" s="279">
      <c r="A144" s="437" t="inlineStr">
        <is>
          <t>Permalex</t>
        </is>
      </c>
      <c r="B144" s="317">
        <f>HYPERLINK("https://uva.onlinejudge.org/index.php?option=com_onlinejudge&amp;Itemid=8&amp;page=show_problem&amp;problem=89","UVA 153")</f>
        <v/>
      </c>
      <c r="C144" s="295" t="n"/>
      <c r="D144" s="488" t="n"/>
      <c r="E144" s="488" t="n"/>
      <c r="F144" s="295" t="n"/>
      <c r="G144" s="295" t="n"/>
      <c r="H144" s="295" t="n"/>
      <c r="I144" s="418">
        <f>SUM(E144:H144)</f>
        <v/>
      </c>
      <c r="J144" s="295" t="n"/>
      <c r="K144" s="295" t="n"/>
      <c r="L144" s="295" t="n"/>
      <c r="M144" s="327">
        <f>HYPERLINK("https://github.com/ahmedcpbl/CompetitiveProgramming/blob/master/UVA/153.cpp","Sol")</f>
        <v/>
      </c>
    </row>
    <row r="145" ht="15.75" customHeight="1" s="279">
      <c r="A145" s="295" t="n"/>
      <c r="B145" s="295" t="n"/>
      <c r="C145" s="295" t="n"/>
      <c r="D145" s="488" t="n"/>
      <c r="E145" s="488" t="n"/>
      <c r="F145" s="295" t="n"/>
      <c r="G145" s="295" t="n"/>
      <c r="H145" s="295" t="n"/>
      <c r="I145" s="418">
        <f>SUM(E145:H145)</f>
        <v/>
      </c>
      <c r="J145" s="295" t="n"/>
      <c r="K145" s="295" t="n"/>
      <c r="L145" s="295" t="n"/>
      <c r="M145" s="463">
        <f>HYPERLINK("https://www.youtube.com/watch?v=t-52tQ3vEgo","DP - Sub-rectangle style")</f>
        <v/>
      </c>
    </row>
    <row r="146" ht="15.75" customHeight="1" s="279">
      <c r="A146" s="432" t="n"/>
      <c r="B146" s="462">
        <f>HYPERLINK("https://uva.onlinejudge.org/index.php?option=onlinejudge&amp;page=show_problem&amp;problem=448","UVA 507")</f>
        <v/>
      </c>
      <c r="C146" s="295" t="n"/>
      <c r="D146" s="488" t="n"/>
      <c r="E146" s="488" t="n"/>
      <c r="F146" s="295" t="n"/>
      <c r="G146" s="295" t="n"/>
      <c r="H146" s="295" t="n"/>
      <c r="I146" s="418">
        <f>SUM(E146:H146)</f>
        <v/>
      </c>
      <c r="J146" s="295" t="n"/>
      <c r="K146" s="295" t="n"/>
      <c r="L146" s="295" t="n"/>
      <c r="M146" s="295" t="n"/>
    </row>
    <row r="147" ht="15.75" customHeight="1" s="279">
      <c r="A147" s="432" t="n"/>
      <c r="B147" s="462">
        <f>HYPERLINK("https://uva.onlinejudge.org/index.php?option=com_onlinejudge&amp;Itemid=8&amp;page=show_problem&amp;problem=1608","UVA 10667")</f>
        <v/>
      </c>
      <c r="C147" s="295" t="n"/>
      <c r="D147" s="488" t="n"/>
      <c r="E147" s="488" t="n"/>
      <c r="F147" s="295" t="n"/>
      <c r="G147" s="295" t="n"/>
      <c r="H147" s="295" t="n"/>
      <c r="I147" s="418">
        <f>SUM(E147:H147)</f>
        <v/>
      </c>
      <c r="J147" s="295" t="n"/>
      <c r="K147" s="295" t="n"/>
      <c r="L147" s="295" t="n"/>
      <c r="M147" s="295" t="n"/>
    </row>
    <row r="148" ht="15.75" customHeight="1" s="279">
      <c r="A148" s="295" t="n"/>
      <c r="B148" s="417" t="n"/>
      <c r="C148" s="295" t="n"/>
      <c r="D148" s="488" t="n"/>
      <c r="E148" s="488" t="n"/>
      <c r="F148" s="295" t="n"/>
      <c r="G148" s="295" t="n"/>
      <c r="H148" s="295" t="n"/>
      <c r="I148" s="418">
        <f>SUM(E148:H148)</f>
        <v/>
      </c>
      <c r="J148" s="295" t="n"/>
      <c r="K148" s="295" t="n"/>
      <c r="L148" s="295" t="n"/>
      <c r="M148" s="295" t="n"/>
    </row>
    <row r="149" ht="15.75" customHeight="1" s="279">
      <c r="A149" s="295" t="inlineStr">
        <is>
          <t>Volleyball</t>
        </is>
      </c>
      <c r="B149" s="417">
        <f>HYPERLINK("http://codeforces.com/contest/96/problem/D","CF96-D2-D")</f>
        <v/>
      </c>
      <c r="C149" s="295" t="n"/>
      <c r="D149" s="488" t="n"/>
      <c r="E149" s="488" t="n"/>
      <c r="F149" s="295" t="n"/>
      <c r="G149" s="295" t="n"/>
      <c r="H149" s="295" t="n"/>
      <c r="I149" s="418">
        <f>SUM(E149:H149)</f>
        <v/>
      </c>
      <c r="J149" s="295" t="n"/>
      <c r="K149" s="295" t="n"/>
      <c r="L149" s="295" t="n"/>
      <c r="M149" s="295" t="n"/>
    </row>
    <row r="150" ht="15.75" customHeight="1" s="279">
      <c r="A150" s="295" t="inlineStr">
        <is>
          <t>Lazy Student</t>
        </is>
      </c>
      <c r="B150" s="417">
        <f>HYPERLINK("http://codeforces.com/contest/606/problem/D","CF606-D2-D")</f>
        <v/>
      </c>
      <c r="C150" s="295" t="n"/>
      <c r="D150" s="488" t="n"/>
      <c r="E150" s="488" t="n"/>
      <c r="F150" s="295" t="n"/>
      <c r="G150" s="295" t="n"/>
      <c r="H150" s="295" t="n"/>
      <c r="I150" s="418">
        <f>SUM(E150:H150)</f>
        <v/>
      </c>
      <c r="J150" s="295" t="n"/>
      <c r="K150" s="295" t="n"/>
      <c r="L150" s="295" t="n"/>
      <c r="M150" s="295" t="n"/>
    </row>
    <row r="151" ht="15.75" customHeight="1" s="279">
      <c r="A151" s="295" t="inlineStr">
        <is>
          <t>Multiplication Table</t>
        </is>
      </c>
      <c r="B151" s="417">
        <f>HYPERLINK("http://codeforces.com/contest/448/problem/D","CF448-D2-D")</f>
        <v/>
      </c>
      <c r="C151" s="295" t="n"/>
      <c r="D151" s="488" t="n"/>
      <c r="E151" s="488" t="n"/>
      <c r="F151" s="295" t="n"/>
      <c r="G151" s="295" t="n"/>
      <c r="H151" s="295" t="n"/>
      <c r="I151" s="418">
        <f>SUM(E151:H151)</f>
        <v/>
      </c>
      <c r="J151" s="295" t="n"/>
      <c r="K151" s="295" t="n"/>
      <c r="L151" s="295" t="n"/>
      <c r="M151" s="417">
        <f>HYPERLINK("https://www.youtube.com/watch?v=up_Z5e9ZsCU","Video Solution - Solve to be (Java)")</f>
        <v/>
      </c>
    </row>
    <row r="152" ht="15.75" customHeight="1" s="279">
      <c r="A152" s="295" t="n"/>
      <c r="B152" s="417">
        <f>HYPERLINK("http://codeforces.com/contest/486/problem/D","CF486-D2-D")</f>
        <v/>
      </c>
      <c r="C152" s="295" t="n"/>
      <c r="D152" s="488" t="n"/>
      <c r="E152" s="488" t="n"/>
      <c r="F152" s="295" t="n"/>
      <c r="G152" s="295" t="n"/>
      <c r="H152" s="295" t="n"/>
      <c r="I152" s="418">
        <f>SUM(E152:H152)</f>
        <v/>
      </c>
      <c r="J152" s="295" t="n"/>
      <c r="K152" s="295" t="n"/>
      <c r="L152" s="295" t="n"/>
      <c r="M152" s="417" t="n"/>
    </row>
    <row r="153" ht="15.75" customHeight="1" s="279">
      <c r="A153" s="295" t="n"/>
      <c r="B153" s="417">
        <f>HYPERLINK("http://codeforces.com/contest/1040/problem/D","CF1040-D2-D")</f>
        <v/>
      </c>
      <c r="C153" s="295" t="n"/>
      <c r="D153" s="488" t="n"/>
      <c r="E153" s="488" t="n"/>
      <c r="F153" s="295" t="n"/>
      <c r="G153" s="295" t="n"/>
      <c r="H153" s="295" t="n"/>
      <c r="I153" s="418">
        <f>SUM(E153:H153)</f>
        <v/>
      </c>
      <c r="J153" s="295" t="n"/>
      <c r="K153" s="295" t="n"/>
      <c r="L153" s="295" t="n"/>
      <c r="M153" s="417" t="n"/>
    </row>
    <row r="154" ht="15.75" customHeight="1" s="279">
      <c r="A154" s="295" t="n"/>
      <c r="B154" s="417">
        <f>HYPERLINK("http://codeforces.com/contest/264/problem/C","CF264-D1-C")</f>
        <v/>
      </c>
      <c r="C154" s="295" t="n"/>
      <c r="D154" s="488" t="n"/>
      <c r="E154" s="488" t="n"/>
      <c r="F154" s="295" t="n"/>
      <c r="G154" s="295" t="n"/>
      <c r="H154" s="295" t="n"/>
      <c r="I154" s="418">
        <f>SUM(E154:H154)</f>
        <v/>
      </c>
      <c r="J154" s="295" t="n"/>
      <c r="K154" s="295" t="n"/>
      <c r="L154" s="295" t="n"/>
      <c r="M154" s="417" t="n"/>
    </row>
    <row r="155" ht="15.75" customHeight="1" s="279">
      <c r="A155" s="295" t="n"/>
      <c r="B155" s="417">
        <f>HYPERLINK("http://codeforces.com/contest/506/problem/A", "CF506-D1-A")</f>
        <v/>
      </c>
      <c r="C155" s="295" t="n"/>
      <c r="D155" s="488" t="n"/>
      <c r="E155" s="488" t="n"/>
      <c r="F155" s="295" t="n"/>
      <c r="G155" s="295" t="n"/>
      <c r="H155" s="295" t="n"/>
      <c r="I155" s="418">
        <f>SUM(E155:H155)</f>
        <v/>
      </c>
      <c r="J155" s="295" t="n"/>
      <c r="K155" s="295" t="n"/>
      <c r="L155" s="295" t="n"/>
      <c r="M155" s="417" t="n"/>
    </row>
    <row r="156" ht="23.25" customHeight="1" s="279">
      <c r="A156" s="295" t="n"/>
      <c r="B156" s="417">
        <f>HYPERLINK("https://www.codechef.com/problems/KSUM","CODECHEF KSUM")</f>
        <v/>
      </c>
      <c r="C156" s="295" t="n"/>
      <c r="D156" s="488" t="n"/>
      <c r="E156" s="488" t="n"/>
      <c r="F156" s="295" t="n"/>
      <c r="G156" s="295" t="n"/>
      <c r="H156" s="295" t="n"/>
      <c r="I156" s="418">
        <f>SUM(E156:H156)</f>
        <v/>
      </c>
      <c r="J156" s="295" t="n"/>
      <c r="K156" s="295" t="n"/>
      <c r="L156" s="295" t="n"/>
      <c r="M156" s="417" t="n"/>
    </row>
    <row r="157" ht="15.75" customHeight="1" s="279">
      <c r="A157" s="295" t="n"/>
      <c r="B157" s="417">
        <f>HYPERLINK("http://codeforces.com/contest/623/problem/B","CF623-D1-B")</f>
        <v/>
      </c>
      <c r="C157" s="295" t="n"/>
      <c r="D157" s="488" t="n"/>
      <c r="E157" s="488" t="n"/>
      <c r="F157" s="295" t="n"/>
      <c r="G157" s="295" t="n"/>
      <c r="H157" s="295" t="n"/>
      <c r="I157" s="418">
        <f>SUM(E157:H157)</f>
        <v/>
      </c>
      <c r="J157" s="295" t="n"/>
      <c r="K157" s="295" t="n"/>
      <c r="L157" s="295" t="n"/>
      <c r="M157" s="417" t="n"/>
    </row>
    <row r="158" ht="23.25" customHeight="1" s="279">
      <c r="A158" s="494" t="inlineStr">
        <is>
          <t>Divisible by Seven</t>
        </is>
      </c>
      <c r="B158" s="318">
        <f>HYPERLINK("http://codeforces.com/contest/376/problem/C","CF376-D2-C")</f>
        <v/>
      </c>
      <c r="C158" s="295" t="n"/>
      <c r="D158" s="488" t="n"/>
      <c r="E158" s="488" t="n"/>
      <c r="F158" s="295" t="n"/>
      <c r="G158" s="295" t="n"/>
      <c r="H158" s="295" t="n"/>
      <c r="I158" s="418">
        <f>SUM(E158:H158)</f>
        <v/>
      </c>
      <c r="J158" s="295" t="n"/>
      <c r="K158" s="295" t="n"/>
      <c r="L158" s="295" t="n"/>
      <c r="M158" s="417" t="n"/>
    </row>
    <row r="159" ht="15.75" customHeight="1" s="279">
      <c r="A159" s="482" t="inlineStr">
        <is>
          <t>Devu and Partitioning of the Array</t>
        </is>
      </c>
      <c r="B159" s="318">
        <f>HYPERLINK("http://codeforces.com/contest/439/problem/C","CF439-D2-C")</f>
        <v/>
      </c>
      <c r="C159" s="295" t="n"/>
      <c r="D159" s="488" t="n"/>
      <c r="E159" s="488" t="n"/>
      <c r="F159" s="295" t="n"/>
      <c r="G159" s="295" t="n"/>
      <c r="H159" s="295" t="n"/>
      <c r="I159" s="418">
        <f>SUM(E159:H159)</f>
        <v/>
      </c>
      <c r="J159" s="295" t="n"/>
      <c r="K159" s="295" t="n"/>
      <c r="L159" s="295" t="n"/>
      <c r="M159" s="417" t="n"/>
    </row>
    <row r="160" ht="15.75" customHeight="1" s="279">
      <c r="A160" s="482" t="inlineStr">
        <is>
          <t>Arthur and Table</t>
        </is>
      </c>
      <c r="B160" s="318">
        <f>HYPERLINK("http://codeforces.com/contest/557/problem/C","CF557-D2-C")</f>
        <v/>
      </c>
      <c r="C160" s="295" t="n"/>
      <c r="D160" s="488" t="n"/>
      <c r="E160" s="488" t="n"/>
      <c r="F160" s="295" t="n"/>
      <c r="G160" s="295" t="n"/>
      <c r="H160" s="295" t="n"/>
      <c r="I160" s="418">
        <f>SUM(E160:H160)</f>
        <v/>
      </c>
      <c r="J160" s="295" t="n"/>
      <c r="K160" s="295" t="n"/>
      <c r="L160" s="295" t="n"/>
      <c r="M160" s="417" t="n"/>
    </row>
  </sheetData>
  <conditionalFormatting sqref="C30:C31">
    <cfRule type="containsText" rank="0" priority="2" equalAverage="0" operator="containsText" aboveAverage="0" dxfId="4" text="CS" percent="0" bottom="0">
      <formula>NOT(ISERROR(SEARCH("CS",C30)))</formula>
    </cfRule>
    <cfRule type="containsText" rank="0" priority="3" equalAverage="0" operator="containsText" aboveAverage="0" dxfId="3" text="RTE" percent="0" bottom="0">
      <formula>NOT(ISERROR(SEARCH("RTE",C30)))</formula>
    </cfRule>
    <cfRule type="containsText" rank="0" priority="4" equalAverage="0" operator="containsText" aboveAverage="0" dxfId="2" text="TLE" percent="0" bottom="0">
      <formula>NOT(ISERROR(SEARCH("TLE",C30)))</formula>
    </cfRule>
    <cfRule type="containsText" rank="0" priority="5" equalAverage="0" operator="containsText" aboveAverage="0" dxfId="1" text="WA" percent="0" bottom="0">
      <formula>NOT(ISERROR(SEARCH("WA",C30)))</formula>
    </cfRule>
    <cfRule type="containsText" rank="0" priority="6" equalAverage="0" operator="containsText" aboveAverage="0" dxfId="4" text="CS" percent="0" bottom="0">
      <formula>NOT(ISERROR(SEARCH("CS",C30)))</formula>
    </cfRule>
    <cfRule type="containsText" rank="0" priority="7" equalAverage="0" operator="containsText" aboveAverage="0" dxfId="3" text="RTE" percent="0" bottom="0">
      <formula>NOT(ISERROR(SEARCH("RTE",C30)))</formula>
    </cfRule>
    <cfRule type="containsText" rank="0" priority="8" equalAverage="0" operator="containsText" aboveAverage="0" dxfId="2" text="TLE" percent="0" bottom="0">
      <formula>NOT(ISERROR(SEARCH("TLE",C30)))</formula>
    </cfRule>
    <cfRule type="containsText" rank="0" priority="9" equalAverage="0" operator="containsText" aboveAverage="0" dxfId="1" text="WA" percent="0" bottom="0">
      <formula>NOT(ISERROR(SEARCH("WA",C30)))</formula>
    </cfRule>
    <cfRule type="cellIs" rank="0" priority="10" equalAverage="0" operator="equal" aboveAverage="0" dxfId="0" text="" percent="0" bottom="0">
      <formula>"AC"</formula>
    </cfRule>
  </conditionalFormatting>
  <conditionalFormatting sqref="K30">
    <cfRule type="cellIs" rank="0" priority="11" equalAverage="0" operator="equal" aboveAverage="0" dxfId="5" text="" percent="0" bottom="0">
      <formula>"NO"</formula>
    </cfRule>
    <cfRule type="cellIs" rank="0" priority="12" equalAverage="0" operator="equal" aboveAverage="0" dxfId="5" text="" percent="0" bottom="0">
      <formula>"no"</formula>
    </cfRule>
    <cfRule type="cellIs" rank="0" priority="13" equalAverage="0" operator="equal" aboveAverage="0" dxfId="5" text="" percent="0" bottom="0">
      <formula>"No"</formula>
    </cfRule>
  </conditionalFormatting>
  <conditionalFormatting sqref="K3:K29 K36 K40:K160">
    <cfRule type="cellIs" rank="0" priority="14" equalAverage="0" operator="equal" aboveAverage="0" dxfId="5" text="" percent="0" bottom="0">
      <formula>"No"</formula>
    </cfRule>
    <cfRule type="cellIs" rank="0" priority="15" equalAverage="0" operator="equal" aboveAverage="0" dxfId="5" text="" percent="0" bottom="0">
      <formula>"no"</formula>
    </cfRule>
    <cfRule type="cellIs" rank="0" priority="16" equalAverage="0" operator="equal" aboveAverage="0" dxfId="5" text="" percent="0" bottom="0">
      <formula>"NO"</formula>
    </cfRule>
  </conditionalFormatting>
  <conditionalFormatting sqref="A145:B145 C3:C160">
    <cfRule type="cellIs" rank="0" priority="17" equalAverage="0" operator="equal" aboveAverage="0" dxfId="0" text="" percent="0" bottom="0">
      <formula>"AC"</formula>
    </cfRule>
    <cfRule type="containsText" rank="0" priority="18" equalAverage="0" operator="containsText" aboveAverage="0" dxfId="1" text="WA" percent="0" bottom="0">
      <formula>NOT(ISERROR(SEARCH("WA",A3)))</formula>
    </cfRule>
    <cfRule type="containsText" rank="0" priority="19" equalAverage="0" operator="containsText" aboveAverage="0" dxfId="2" text="TLE" percent="0" bottom="0">
      <formula>NOT(ISERROR(SEARCH("TLE",A3)))</formula>
    </cfRule>
    <cfRule type="containsText" rank="0" priority="20" equalAverage="0" operator="containsText" aboveAverage="0" dxfId="3" text="RTE" percent="0" bottom="0">
      <formula>NOT(ISERROR(SEARCH("RTE",A3)))</formula>
    </cfRule>
    <cfRule type="containsText" rank="0" priority="21" equalAverage="0" operator="containsText" aboveAverage="0" dxfId="4" text="CS" percent="0" bottom="0">
      <formula>NOT(ISERROR(SEARCH("CS",A3)))</formula>
    </cfRule>
  </conditionalFormatting>
  <conditionalFormatting sqref="A145:B145 C36 C48:C160">
    <cfRule type="containsText" rank="0" priority="22" equalAverage="0" operator="containsText" aboveAverage="0" dxfId="1" text="WA" percent="0" bottom="0">
      <formula>NOT(ISERROR(SEARCH("WA",A36)))</formula>
    </cfRule>
    <cfRule type="containsText" rank="0" priority="23" equalAverage="0" operator="containsText" aboveAverage="0" dxfId="2" text="TLE" percent="0" bottom="0">
      <formula>NOT(ISERROR(SEARCH("TLE",A36)))</formula>
    </cfRule>
    <cfRule type="containsText" rank="0" priority="24" equalAverage="0" operator="containsText" aboveAverage="0" dxfId="3" text="RTE" percent="0" bottom="0">
      <formula>NOT(ISERROR(SEARCH("RTE",A36)))</formula>
    </cfRule>
    <cfRule type="containsText" rank="0" priority="25" equalAverage="0" operator="containsText" aboveAverage="0" dxfId="4" text="CS" percent="0" bottom="0">
      <formula>NOT(ISERROR(SEARCH("CS",A36)))</formula>
    </cfRule>
  </conditionalFormatting>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1:M158"/>
  <sheetViews>
    <sheetView showFormulas="0" showGridLines="1" showRowColHeaders="1" showZeros="1" rightToLeft="0" tabSelected="0" showOutlineSymbols="1" defaultGridColor="1"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baseColWidth="8" defaultColWidth="15.12890625" defaultRowHeight="15.75" zeroHeight="0" outlineLevelRow="0"/>
  <cols>
    <col width="13.75" customWidth="1" style="278" min="1" max="1"/>
    <col width="17.38" customWidth="1" style="278" min="2" max="2"/>
    <col width="6" customWidth="1" style="278" min="3" max="3"/>
    <col width="6.75" customWidth="1" style="278" min="4" max="4"/>
    <col width="7.38" customWidth="1" style="278" min="5" max="5"/>
    <col width="7.63" customWidth="1" style="278" min="6" max="6"/>
    <col width="8.75" customWidth="1" style="278" min="7" max="7"/>
    <col width="7.5" customWidth="1" style="278" min="8" max="9"/>
    <col width="8.75" customWidth="1" style="278" min="10" max="12"/>
    <col width="66" customWidth="1" style="278" min="13" max="13"/>
  </cols>
  <sheetData>
    <row r="1" ht="45.75" customHeight="1" s="279">
      <c r="A1" s="456" t="inlineStr">
        <is>
          <t>Problem Name</t>
        </is>
      </c>
      <c r="B1" s="400" t="inlineStr">
        <is>
          <t>Problem Code</t>
        </is>
      </c>
      <c r="C1" s="401" t="inlineStr">
        <is>
          <t>Status</t>
        </is>
      </c>
      <c r="D1" s="401" t="inlineStr">
        <is>
          <t>Submit Count</t>
        </is>
      </c>
      <c r="E1" s="401" t="inlineStr">
        <is>
          <t>Reading Time(m)</t>
        </is>
      </c>
      <c r="F1" s="401" t="inlineStr">
        <is>
          <t>Thinking Time(m)</t>
        </is>
      </c>
      <c r="G1" s="401" t="inlineStr">
        <is>
          <t>Coding Time(m)</t>
        </is>
      </c>
      <c r="H1" s="401" t="inlineStr">
        <is>
          <t>Debug Time(m)</t>
        </is>
      </c>
      <c r="I1" s="401" t="inlineStr">
        <is>
          <t>Total Time(m)</t>
        </is>
      </c>
      <c r="J1" s="401" t="inlineStr">
        <is>
          <t>Problem Level /10</t>
        </is>
      </c>
      <c r="K1" s="401" t="inlineStr">
        <is>
          <t>By yourself?</t>
        </is>
      </c>
      <c r="L1" s="401" t="inlineStr">
        <is>
          <t>Category</t>
        </is>
      </c>
      <c r="M1" s="402" t="inlineStr">
        <is>
          <t>1-2 line Comments
About your approach</t>
        </is>
      </c>
    </row>
    <row r="2" ht="15.75" customHeight="1" s="279">
      <c r="A2" s="457" t="n"/>
      <c r="B2" s="301" t="inlineStr">
        <is>
          <t>AC Averages =&gt;</t>
        </is>
      </c>
      <c r="C2" s="405">
        <f>COUNTIF(C3:C10540, "AC")</f>
        <v/>
      </c>
      <c r="D2" s="405">
        <f>ROUND(SUMPRODUCT(D3:D10540,INT(eq(C3:C10540, "AC")))/MAX(1, C2),1)</f>
        <v/>
      </c>
      <c r="E2" s="405">
        <f>ROUND(SUMPRODUCT(E3:E10562,INT(eq(C3:C10562, "AC")))/MAX(1, C2),0)</f>
        <v/>
      </c>
      <c r="F2" s="405">
        <f>ROUND(SUMPRODUCT(F3:F10565,INT(eq(C3:C10565, "AC")))/MAX(1, C2),0)</f>
        <v/>
      </c>
      <c r="G2" s="405">
        <f>ROUND(SUMPRODUCT(G3:G10565,INT(eq(C3:C10565, "AC")))/MAX(1, C2),0)</f>
        <v/>
      </c>
      <c r="H2" s="405">
        <f>ROUND(SUMPRODUCT(H3:H10565,INT(eq(C3:C10565, "AC")))/MAX(1, C2),0)</f>
        <v/>
      </c>
      <c r="I2" s="405">
        <f>ROUND(SUMPRODUCT(I3:I10537,INT(eq(C3:C10537, "AC")))/MAX(1, C2),0)</f>
        <v/>
      </c>
      <c r="J2" s="405">
        <f>ROUND(SUMPRODUCT(J3:J10535,INT(eq(C3:C10535, "AC")))/MAX(1, C2),1)</f>
        <v/>
      </c>
      <c r="K2" s="405">
        <f>SUMPRODUCT(eq(K3:K10540, "YES"),INT(eq(C3:C10565, "AC")))</f>
        <v/>
      </c>
      <c r="L2" s="405">
        <f>IFERROR(__xludf.dummyfunction("COUNTA(FILTER(C3:C10032, NOT(REGEXMATCH(C3:C10032, ""AC""))))"),0)</f>
        <v/>
      </c>
      <c r="M2" s="406">
        <f>IFERROR(__xludf.dummyfunction("COUNTA(FILTER(C3:C10027, NOT(REGEXMATCH(C3:C10027, ""AC""))))"),0)</f>
        <v/>
      </c>
    </row>
    <row r="3" ht="15.75" customHeight="1" s="279">
      <c r="A3" s="295" t="n"/>
      <c r="B3" s="295" t="n"/>
      <c r="C3" s="418" t="n"/>
      <c r="D3" s="418" t="n"/>
      <c r="E3" s="418" t="n"/>
      <c r="F3" s="418" t="n"/>
      <c r="G3" s="418" t="n"/>
      <c r="H3" s="418" t="n"/>
      <c r="I3" s="404">
        <f>SUM(E3:H3)</f>
        <v/>
      </c>
      <c r="J3" s="404" t="n"/>
      <c r="K3" s="404" t="n"/>
      <c r="L3" s="418" t="n"/>
      <c r="M3" s="305">
        <f>HYPERLINK("https://www.youtube.com/watch?v=vjxLlFTKhrU&amp;index=2&amp;list=PLPt2dINI2MIYrtHBahPW16S-Wz9wx24Nc","String Processing - KMP (2 vid)")</f>
        <v/>
      </c>
    </row>
    <row r="4" ht="15.75" customHeight="1" s="279">
      <c r="A4" s="495" t="inlineStr">
        <is>
          <t>Oulipo</t>
        </is>
      </c>
      <c r="B4" s="491">
        <f>HYPERLINK("http://poj.org/problem?id=3461","PKU 3461")</f>
        <v/>
      </c>
      <c r="C4" s="418" t="n"/>
      <c r="D4" s="418" t="n"/>
      <c r="E4" s="418" t="n"/>
      <c r="F4" s="418" t="n"/>
      <c r="G4" s="418" t="n"/>
      <c r="H4" s="418" t="n"/>
      <c r="I4" s="404">
        <f>SUM(E4:H4)</f>
        <v/>
      </c>
      <c r="J4" s="404" t="n"/>
      <c r="K4" s="404" t="n"/>
      <c r="L4" s="295" t="n"/>
      <c r="M4" s="295" t="n"/>
    </row>
    <row r="5" ht="15.75" customHeight="1" s="279">
      <c r="A5" s="432" t="inlineStr">
        <is>
          <t>A Needle in the Haystack</t>
        </is>
      </c>
      <c r="B5" s="491">
        <f>HYPERLINK("http://www.spoj.com/problems/NHAY","SPOJ NHAY")</f>
        <v/>
      </c>
      <c r="C5" s="418" t="n"/>
      <c r="D5" s="418" t="n"/>
      <c r="E5" s="418" t="n"/>
      <c r="F5" s="418" t="n"/>
      <c r="G5" s="418" t="n"/>
      <c r="H5" s="418" t="n"/>
      <c r="I5" s="404">
        <f>SUM(E5:H5)</f>
        <v/>
      </c>
      <c r="J5" s="404" t="n"/>
      <c r="K5" s="404" t="n"/>
      <c r="L5" s="295" t="n"/>
      <c r="M5" s="295" t="n"/>
    </row>
    <row r="6" ht="15.75" customHeight="1" s="279">
      <c r="A6" s="432" t="inlineStr">
        <is>
          <t>Finding the Tesserect</t>
        </is>
      </c>
      <c r="B6" s="491">
        <f>HYPERLINK("http://www.spoj.com/problems/TESSER/","SPOJ TESSER")</f>
        <v/>
      </c>
      <c r="C6" s="418" t="n"/>
      <c r="D6" s="418" t="n"/>
      <c r="E6" s="418" t="n"/>
      <c r="F6" s="418" t="n"/>
      <c r="G6" s="418" t="n"/>
      <c r="H6" s="418" t="n"/>
      <c r="I6" s="404">
        <f>SUM(E6:H6)</f>
        <v/>
      </c>
      <c r="J6" s="404" t="n"/>
      <c r="K6" s="404" t="n"/>
      <c r="L6" s="295" t="n"/>
      <c r="M6" s="295" t="n"/>
    </row>
    <row r="7" ht="15.75" customHeight="1" s="279">
      <c r="A7" s="432" t="inlineStr">
        <is>
          <t>Period</t>
        </is>
      </c>
      <c r="B7" s="491">
        <f>HYPERLINK("http://www.spoj.com/problems/PERIOD/","SPOJ PERIOD")</f>
        <v/>
      </c>
      <c r="C7" s="418" t="n"/>
      <c r="D7" s="418" t="n"/>
      <c r="E7" s="418" t="n"/>
      <c r="F7" s="418" t="n"/>
      <c r="G7" s="418" t="n"/>
      <c r="H7" s="418" t="n"/>
      <c r="I7" s="404">
        <f>SUM(E7:H7)</f>
        <v/>
      </c>
      <c r="J7" s="404" t="n"/>
      <c r="K7" s="404" t="n"/>
      <c r="M7" s="295" t="n"/>
    </row>
    <row r="8" ht="15.75" customHeight="1" s="279">
      <c r="A8" s="495" t="inlineStr">
        <is>
          <t>Prefixes and Suffixes</t>
        </is>
      </c>
      <c r="B8" s="491">
        <f>HYPERLINK("http://codeforces.com/contest/432/problem/D","CF432-D2-D")</f>
        <v/>
      </c>
      <c r="C8" s="418" t="n"/>
      <c r="D8" s="418" t="n"/>
      <c r="E8" s="418" t="n"/>
      <c r="F8" s="418" t="n"/>
      <c r="G8" s="418" t="n"/>
      <c r="H8" s="418" t="n"/>
      <c r="I8" s="404">
        <f>SUM(E8:H8)</f>
        <v/>
      </c>
      <c r="J8" s="404" t="n"/>
      <c r="K8" s="404" t="n"/>
      <c r="L8" s="295" t="n"/>
      <c r="M8" s="295" t="n"/>
    </row>
    <row r="9" ht="15.75" customHeight="1" s="279">
      <c r="A9" s="495" t="inlineStr">
        <is>
          <t>Tavas and Malekas</t>
        </is>
      </c>
      <c r="B9" s="491">
        <f>HYPERLINK("http://codeforces.com/contest/535/problem/D","CF535-D2-D")</f>
        <v/>
      </c>
      <c r="C9" s="418" t="n"/>
      <c r="D9" s="418" t="n"/>
      <c r="E9" s="418" t="n"/>
      <c r="F9" s="418" t="n"/>
      <c r="G9" s="418" t="n"/>
      <c r="H9" s="418" t="n"/>
      <c r="I9" s="404">
        <f>SUM(E9:H9)</f>
        <v/>
      </c>
      <c r="J9" s="404" t="n"/>
      <c r="K9" s="404" t="n"/>
      <c r="L9" s="295" t="n"/>
      <c r="M9" s="295" t="n"/>
    </row>
    <row r="10" ht="15.75" customHeight="1" s="279">
      <c r="A10" s="496" t="inlineStr">
        <is>
          <t>Be Efficient</t>
        </is>
      </c>
      <c r="B10" s="497">
        <f>HYPERLINK("https://uva.onlinejudge.org/index.php?option=onlinejudge&amp;page=show_problem&amp;problem=2096","UVA 11155")</f>
        <v/>
      </c>
      <c r="C10" s="418" t="n"/>
      <c r="D10" s="418" t="n"/>
      <c r="E10" s="418" t="n"/>
      <c r="F10" s="418" t="n"/>
      <c r="G10" s="418" t="n"/>
      <c r="H10" s="418" t="n"/>
      <c r="I10" s="404">
        <f>SUM(E10:H10)</f>
        <v/>
      </c>
      <c r="J10" s="404" t="n"/>
      <c r="K10" s="404" t="n"/>
      <c r="L10" s="295" t="n"/>
      <c r="M10" s="295" t="n"/>
    </row>
    <row r="11" ht="15.75" customHeight="1" s="279">
      <c r="A11" s="496" t="inlineStr">
        <is>
          <t>Vertex Cover</t>
        </is>
      </c>
      <c r="B11" s="497">
        <f>HYPERLINK("http://www.spoj.com/problems/PT07X/","SPOJ PT07X")</f>
        <v/>
      </c>
      <c r="C11" s="418" t="n"/>
      <c r="D11" s="418" t="n"/>
      <c r="E11" s="418" t="n"/>
      <c r="F11" s="418" t="n"/>
      <c r="G11" s="418" t="n"/>
      <c r="H11" s="418" t="n"/>
      <c r="I11" s="404">
        <f>SUM(E11:H11)</f>
        <v/>
      </c>
      <c r="J11" s="404" t="n"/>
      <c r="K11" s="404" t="n"/>
      <c r="L11" s="295" t="n"/>
      <c r="M11" s="474">
        <f>HYPERLINK("https://github.com/abdullaAshraf/Problem-Solving/blob/master/SPOJ/PT07X.cpp","Sol")</f>
        <v/>
      </c>
    </row>
    <row r="12" ht="15.75" customHeight="1" s="279">
      <c r="A12" s="437" t="inlineStr">
        <is>
          <t>First Digit Law</t>
        </is>
      </c>
      <c r="B12" s="317">
        <f>HYPERLINK("http://codeforces.com/contest/54/problem/C","CF54-D12-C")</f>
        <v/>
      </c>
      <c r="C12" s="418" t="n"/>
      <c r="D12" s="418" t="n"/>
      <c r="E12" s="418" t="n"/>
      <c r="F12" s="418" t="n"/>
      <c r="G12" s="418" t="n"/>
      <c r="H12" s="418" t="n"/>
      <c r="I12" s="404">
        <f>SUM(E12:H12)</f>
        <v/>
      </c>
      <c r="J12" s="295" t="n"/>
      <c r="K12" s="295" t="n"/>
      <c r="L12" s="295" t="n"/>
      <c r="M12" s="304" t="n"/>
    </row>
    <row r="13" ht="15.75" customHeight="1" s="279">
      <c r="A13" s="437" t="n"/>
      <c r="B13" s="438">
        <f>HYPERLINK("http://codeforces.com/contest/500/problem/D","CF500-D12-D")</f>
        <v/>
      </c>
      <c r="C13" s="418" t="n"/>
      <c r="D13" s="418" t="n"/>
      <c r="E13" s="418" t="n"/>
      <c r="F13" s="418" t="n"/>
      <c r="G13" s="418" t="n"/>
      <c r="H13" s="418" t="n"/>
      <c r="I13" s="404">
        <f>SUM(E13:H13)</f>
        <v/>
      </c>
      <c r="J13" s="295" t="n"/>
      <c r="K13" s="295" t="n"/>
      <c r="L13" s="295" t="n"/>
      <c r="M13" s="304" t="n"/>
    </row>
    <row r="14" ht="15.75" customHeight="1" s="279">
      <c r="A14" s="437" t="n"/>
      <c r="B14" s="438">
        <f>HYPERLINK("https://www.hackerrank.com/challenges/vertical-sticks","HACKR vertical-sticks")</f>
        <v/>
      </c>
      <c r="C14" s="418" t="n"/>
      <c r="D14" s="418" t="n"/>
      <c r="E14" s="418" t="n"/>
      <c r="F14" s="418" t="n"/>
      <c r="G14" s="418" t="n"/>
      <c r="H14" s="418" t="n"/>
      <c r="I14" s="404">
        <f>SUM(E14:H14)</f>
        <v/>
      </c>
      <c r="J14" s="295" t="n"/>
      <c r="K14" s="295" t="n"/>
      <c r="L14" s="295" t="n"/>
      <c r="M14" s="304" t="n"/>
    </row>
    <row r="15" ht="15.75" customHeight="1" s="279">
      <c r="A15" s="437" t="n"/>
      <c r="B15" s="437" t="inlineStr">
        <is>
          <t>UVA 10174</t>
        </is>
      </c>
      <c r="C15" s="418" t="n"/>
      <c r="D15" s="418" t="n"/>
      <c r="E15" s="418" t="n"/>
      <c r="F15" s="418" t="n"/>
      <c r="G15" s="418" t="n"/>
      <c r="H15" s="418" t="n"/>
      <c r="I15" s="404">
        <f>SUM(E15:H15)</f>
        <v/>
      </c>
      <c r="J15" s="295" t="n"/>
      <c r="K15" s="295" t="n"/>
      <c r="L15" s="295" t="n"/>
      <c r="M15" s="304" t="n"/>
    </row>
    <row r="16" ht="15.75" customHeight="1" s="279">
      <c r="A16" s="437" t="n"/>
      <c r="B16" s="437" t="inlineStr">
        <is>
          <t>UVA 1333</t>
        </is>
      </c>
      <c r="C16" s="418" t="n"/>
      <c r="D16" s="418" t="n"/>
      <c r="E16" s="418" t="n"/>
      <c r="F16" s="418" t="n"/>
      <c r="G16" s="418" t="n"/>
      <c r="H16" s="418" t="n"/>
      <c r="I16" s="404">
        <f>SUM(E16:H16)</f>
        <v/>
      </c>
      <c r="J16" s="295" t="n"/>
      <c r="K16" s="295" t="n"/>
      <c r="L16" s="295" t="n"/>
      <c r="M16" s="474">
        <f>HYPERLINK("https://github.com/mostafa-saad/MyCompetitiveProgramming/blob/master/UVA/UVA_1333.txt","Sol - Text/Background Clarification")</f>
        <v/>
      </c>
    </row>
    <row r="17" ht="15.75" customHeight="1" s="279">
      <c r="A17" s="437" t="n"/>
      <c r="B17" s="438">
        <f>HYPERLINK("http://codeforces.com/contest/842/problem/D","CF842-D2-D")</f>
        <v/>
      </c>
      <c r="C17" s="418" t="n"/>
      <c r="D17" s="418" t="n"/>
      <c r="E17" s="418" t="n"/>
      <c r="F17" s="418" t="n"/>
      <c r="G17" s="418" t="n"/>
      <c r="H17" s="418" t="n"/>
      <c r="I17" s="404">
        <f>SUM(E17:H17)</f>
        <v/>
      </c>
      <c r="J17" s="295" t="n"/>
      <c r="K17" s="295" t="n"/>
      <c r="L17" s="295" t="n"/>
      <c r="M17" s="304" t="n"/>
    </row>
    <row r="18" ht="15.75" customHeight="1" s="279">
      <c r="A18" s="437" t="n"/>
      <c r="B18" s="438">
        <f>HYPERLINK("http://codeforces.com/contest/709/problem/D","CF709-D2-D")</f>
        <v/>
      </c>
      <c r="C18" s="418" t="n"/>
      <c r="D18" s="418" t="n"/>
      <c r="E18" s="418" t="n"/>
      <c r="F18" s="418" t="n"/>
      <c r="G18" s="418" t="n"/>
      <c r="H18" s="418" t="n"/>
      <c r="I18" s="404">
        <f>SUM(E18:H18)</f>
        <v/>
      </c>
      <c r="J18" s="295" t="n"/>
      <c r="K18" s="295" t="n"/>
      <c r="L18" s="295" t="n"/>
      <c r="M18" s="304" t="n"/>
    </row>
    <row r="19" ht="15.75" customHeight="1" s="279">
      <c r="A19" s="437" t="n"/>
      <c r="B19" s="437" t="inlineStr">
        <is>
          <t>SPOJ MSKYCODE</t>
        </is>
      </c>
      <c r="C19" s="418" t="n"/>
      <c r="D19" s="418" t="n"/>
      <c r="E19" s="418" t="n"/>
      <c r="F19" s="418" t="n"/>
      <c r="G19" s="418" t="n"/>
      <c r="H19" s="418" t="n"/>
      <c r="I19" s="404">
        <f>SUM(E19:H19)</f>
        <v/>
      </c>
      <c r="J19" s="295" t="n"/>
      <c r="K19" s="295" t="n"/>
      <c r="L19" s="295" t="n"/>
      <c r="M19" s="474">
        <f>HYPERLINK("https://github.com/mostafa-saad/MyCompetitiveProgramming/blob/master/SPOJ/SPOJ_MSKYCODE.txt","Sol")</f>
        <v/>
      </c>
    </row>
    <row r="20" ht="15.75" customHeight="1" s="279">
      <c r="A20" s="437" t="n"/>
      <c r="B20" s="437" t="inlineStr">
        <is>
          <t>LiveArchive 8015</t>
        </is>
      </c>
      <c r="C20" s="418" t="n"/>
      <c r="D20" s="418" t="n"/>
      <c r="E20" s="418" t="n"/>
      <c r="F20" s="418" t="n"/>
      <c r="G20" s="418" t="n"/>
      <c r="H20" s="418" t="n"/>
      <c r="I20" s="404">
        <f>SUM(E20:H20)</f>
        <v/>
      </c>
      <c r="J20" s="295" t="n"/>
      <c r="K20" s="295" t="n"/>
      <c r="L20" s="295" t="n"/>
      <c r="M20" s="474">
        <f>HYPERLINK("https://github.com/ahmed-osama-iv/CompetitiveProgramming/blob/master/LiveArchive/8015.cpp","Sol")</f>
        <v/>
      </c>
    </row>
    <row r="21" ht="15.75" customHeight="1" s="279">
      <c r="A21" s="304" t="n"/>
      <c r="B21" s="295" t="n"/>
      <c r="C21" s="418" t="n"/>
      <c r="D21" s="418" t="n"/>
      <c r="E21" s="418" t="n"/>
      <c r="F21" s="418" t="n"/>
      <c r="G21" s="418" t="n"/>
      <c r="H21" s="418" t="n"/>
      <c r="I21" s="404">
        <f>SUM(E21:H21)</f>
        <v/>
      </c>
      <c r="J21" s="404" t="n"/>
      <c r="K21" s="404" t="n"/>
      <c r="L21" s="295" t="n"/>
      <c r="M21" s="304" t="n"/>
    </row>
    <row r="22" ht="15.75" customHeight="1" s="279">
      <c r="A22" s="304" t="inlineStr">
        <is>
          <t>Robin Hood</t>
        </is>
      </c>
      <c r="B22" s="421">
        <f>HYPERLINK("http://codeforces.com/contest/672/problem/D","CF672-D2-D")</f>
        <v/>
      </c>
      <c r="C22" s="418" t="n"/>
      <c r="D22" s="418" t="n"/>
      <c r="E22" s="418" t="n"/>
      <c r="F22" s="418" t="n"/>
      <c r="G22" s="418" t="n"/>
      <c r="H22" s="418" t="n"/>
      <c r="I22" s="404">
        <f>SUM(E22:H22)</f>
        <v/>
      </c>
      <c r="J22" s="404" t="n"/>
      <c r="K22" s="404" t="n"/>
      <c r="L22" s="295" t="n"/>
      <c r="M22" s="304" t="n"/>
    </row>
    <row r="23" ht="15.75" customHeight="1" s="279">
      <c r="A23" s="304" t="inlineStr">
        <is>
          <t>End of Exams</t>
        </is>
      </c>
      <c r="B23" s="421">
        <f>HYPERLINK("http://codeforces.com/contest/94/problem/D","CF94-D2-D")</f>
        <v/>
      </c>
      <c r="C23" s="418" t="n"/>
      <c r="D23" s="418" t="n"/>
      <c r="E23" s="418" t="n"/>
      <c r="F23" s="418" t="n"/>
      <c r="G23" s="418" t="n"/>
      <c r="H23" s="418" t="n"/>
      <c r="I23" s="404">
        <f>SUM(E23:H23)</f>
        <v/>
      </c>
      <c r="J23" s="404" t="n"/>
      <c r="K23" s="404" t="n"/>
      <c r="L23" s="295" t="n"/>
      <c r="M23" s="304" t="n"/>
    </row>
    <row r="24" ht="15.75" customHeight="1" s="279">
      <c r="A24" s="304" t="inlineStr">
        <is>
          <t>Equivalent Strings</t>
        </is>
      </c>
      <c r="B24" s="421">
        <f>HYPERLINK("http://codeforces.com/contest/560/problem/D","CF560-D2-D")</f>
        <v/>
      </c>
      <c r="C24" s="418" t="n"/>
      <c r="D24" s="418" t="n"/>
      <c r="E24" s="418" t="n"/>
      <c r="F24" s="418" t="n"/>
      <c r="G24" s="418" t="n"/>
      <c r="H24" s="418" t="n"/>
      <c r="I24" s="404">
        <f>SUM(E24:H24)</f>
        <v/>
      </c>
      <c r="J24" s="404" t="n"/>
      <c r="K24" s="404" t="n"/>
      <c r="M24" s="474">
        <f>HYPERLINK("https://github.com/VAMPIER000001/CompetitiveProgramming/blob/6ffe2c80fe5aba2bf2d901503b96f1b90053462a/CF/CF560-D2-D(2).Cpp","Sol to learn")</f>
        <v/>
      </c>
    </row>
    <row r="25" ht="15.75" customHeight="1" s="279">
      <c r="A25" s="304" t="inlineStr">
        <is>
          <t>Count Good Substrings</t>
        </is>
      </c>
      <c r="B25" s="421">
        <f>HYPERLINK("http://codeforces.com/contest/451/problem/D","CF451-D2-D")</f>
        <v/>
      </c>
      <c r="C25" s="418" t="n"/>
      <c r="D25" s="418" t="n"/>
      <c r="E25" s="418" t="n"/>
      <c r="F25" s="418" t="n"/>
      <c r="G25" s="418" t="n"/>
      <c r="H25" s="418" t="n"/>
      <c r="I25" s="404">
        <f>SUM(E25:H25)</f>
        <v/>
      </c>
      <c r="J25" s="404" t="n"/>
      <c r="K25" s="404" t="n"/>
      <c r="L25" s="295" t="n"/>
      <c r="M25" s="295" t="n"/>
    </row>
    <row r="26" ht="15.75" customHeight="1" s="279">
      <c r="A26" s="304" t="inlineStr">
        <is>
          <t>Mushroom Scientists</t>
        </is>
      </c>
      <c r="B26" s="421">
        <f>HYPERLINK("http://codeforces.com/contest/186/problem/D","CF186-D2-D")</f>
        <v/>
      </c>
      <c r="C26" s="418" t="n"/>
      <c r="D26" s="418" t="n"/>
      <c r="E26" s="418" t="n"/>
      <c r="F26" s="418" t="n"/>
      <c r="G26" s="418" t="n"/>
      <c r="H26" s="418" t="n"/>
      <c r="I26" s="404">
        <f>SUM(E26:H26)</f>
        <v/>
      </c>
      <c r="J26" s="404" t="n"/>
      <c r="K26" s="404" t="n"/>
      <c r="L26" s="295" t="n"/>
      <c r="M26" s="295" t="n"/>
    </row>
    <row r="27" ht="15.75" customHeight="1" s="279">
      <c r="A27" s="304" t="inlineStr">
        <is>
          <t>Analyzing Polyline</t>
        </is>
      </c>
      <c r="B27" s="421">
        <f>HYPERLINK("http://codeforces.com/contest/195/problem/D","CF195-D2-D")</f>
        <v/>
      </c>
      <c r="C27" s="418" t="n"/>
      <c r="D27" s="418" t="n"/>
      <c r="E27" s="418" t="n"/>
      <c r="F27" s="418" t="n"/>
      <c r="G27" s="418" t="n"/>
      <c r="H27" s="418" t="n"/>
      <c r="I27" s="404">
        <f>SUM(E27:H27)</f>
        <v/>
      </c>
      <c r="J27" s="404" t="n"/>
      <c r="K27" s="404" t="n"/>
      <c r="L27" s="295" t="n"/>
      <c r="M27" s="295" t="n"/>
    </row>
    <row r="28" ht="15.75" customHeight="1" s="279">
      <c r="A28" s="304" t="n"/>
      <c r="B28" s="421">
        <f>HYPERLINK("http://codeforces.com/contest/1023/problem/E","CF1023-D12-E")</f>
        <v/>
      </c>
      <c r="C28" s="418" t="n"/>
      <c r="D28" s="418" t="n"/>
      <c r="E28" s="418" t="n"/>
      <c r="F28" s="418" t="n"/>
      <c r="G28" s="418" t="n"/>
      <c r="H28" s="418" t="n"/>
      <c r="I28" s="404">
        <f>SUM(E28:H28)</f>
        <v/>
      </c>
      <c r="J28" s="404" t="n"/>
      <c r="K28" s="404" t="n"/>
      <c r="L28" s="295" t="n"/>
      <c r="M28" s="295" t="n"/>
    </row>
    <row r="29" ht="15.75" customHeight="1" s="279">
      <c r="A29" s="304" t="n"/>
      <c r="B29" s="421">
        <f>HYPERLINK("https://codeforces.com/contest/1060/problem/C","CF1060-D12-C")</f>
        <v/>
      </c>
      <c r="C29" s="418" t="n"/>
      <c r="D29" s="418" t="n"/>
      <c r="E29" s="418" t="n"/>
      <c r="F29" s="418" t="n"/>
      <c r="G29" s="418" t="n"/>
      <c r="H29" s="418" t="n"/>
      <c r="I29" s="404">
        <f>SUM(E29:H29)</f>
        <v/>
      </c>
      <c r="J29" s="404" t="n"/>
      <c r="K29" s="404" t="n"/>
      <c r="L29" s="295" t="n"/>
      <c r="M29" s="295" t="n"/>
    </row>
    <row r="30" ht="15.75" customHeight="1" s="279">
      <c r="A30" s="482" t="inlineStr">
        <is>
          <t>Bear and Prime 100</t>
        </is>
      </c>
      <c r="B30" s="318">
        <f>HYPERLINK("http://codeforces.com/contest/680/problem/C","CF680-D2-C")</f>
        <v/>
      </c>
      <c r="C30" s="418" t="n"/>
      <c r="D30" s="418" t="n"/>
      <c r="E30" s="418" t="n"/>
      <c r="F30" s="418" t="n"/>
      <c r="G30" s="418" t="n"/>
      <c r="H30" s="418" t="n"/>
      <c r="I30" s="404">
        <f>SUM(E30:H30)</f>
        <v/>
      </c>
      <c r="J30" s="295" t="n"/>
      <c r="K30" s="295" t="n"/>
      <c r="L30" s="295" t="n"/>
      <c r="M30" s="295" t="n"/>
    </row>
    <row r="31" ht="15.75" customHeight="1" s="279">
      <c r="A31" s="482" t="inlineStr">
        <is>
          <t>Team</t>
        </is>
      </c>
      <c r="B31" s="318">
        <f>HYPERLINK("http://codeforces.com/contest/401/problem/C","CF401-D2-C")</f>
        <v/>
      </c>
      <c r="C31" s="418" t="n"/>
      <c r="D31" s="418" t="n"/>
      <c r="E31" s="418" t="n"/>
      <c r="F31" s="418" t="n"/>
      <c r="G31" s="418" t="n"/>
      <c r="H31" s="418" t="n"/>
      <c r="I31" s="404">
        <f>SUM(E31:H31)</f>
        <v/>
      </c>
      <c r="J31" s="295" t="n"/>
      <c r="K31" s="295" t="n"/>
      <c r="L31" s="295" t="n"/>
      <c r="M31" s="295" t="n"/>
    </row>
    <row r="32" ht="15.75" customHeight="1" s="279">
      <c r="A32" s="304" t="n"/>
      <c r="B32" s="295" t="n"/>
      <c r="C32" s="418" t="n"/>
      <c r="D32" s="418" t="n"/>
      <c r="E32" s="418" t="n"/>
      <c r="F32" s="418" t="n"/>
      <c r="G32" s="418" t="n"/>
      <c r="H32" s="418" t="n"/>
      <c r="I32" s="404">
        <f>SUM(E32:H32)</f>
        <v/>
      </c>
      <c r="J32" s="404" t="n"/>
      <c r="K32" s="404" t="n"/>
      <c r="L32" s="295" t="n"/>
      <c r="M32" s="305">
        <f>HYPERLINK("https://www.youtube.com/watch?v=X-cMRvuTGuM&amp;list=PLPt2dINI2MIattDutu7IOAMlUuLeN8k2p&amp;index=19","DP - Games (2 vid)")</f>
        <v/>
      </c>
    </row>
    <row r="33" ht="15.75" customHeight="1" s="279">
      <c r="A33" s="432" t="inlineStr">
        <is>
          <t>Bachet's Game</t>
        </is>
      </c>
      <c r="B33" s="491">
        <f>HYPERLINK("https://uva.onlinejudge.org/index.php?option=com_onlinejudge&amp;Itemid=8&amp;page=show_problem&amp;problem=1345","UVA 10404")</f>
        <v/>
      </c>
      <c r="C33" s="418" t="n"/>
      <c r="D33" s="418" t="n"/>
      <c r="E33" s="418" t="n"/>
      <c r="F33" s="418" t="n"/>
      <c r="G33" s="418" t="n"/>
      <c r="H33" s="418" t="n"/>
      <c r="I33" s="404">
        <f>SUM(E33:H33)</f>
        <v/>
      </c>
      <c r="J33" s="404" t="n"/>
      <c r="K33" s="404" t="n"/>
      <c r="L33" s="295" t="n"/>
      <c r="M33" s="474">
        <f>HYPERLINK("https://github.com/VAMPIER000001/CompetitiveProgramming/blob/58946d0dcba06adfc2c5ec0b423546a6a0c6da9c/UVA/V-104/UVA%2010404.Cpp","Sol")</f>
        <v/>
      </c>
    </row>
    <row r="34" ht="23.25" customHeight="1" s="279">
      <c r="A34" s="491">
        <f>HYPERLINK("https://community.topcoder.com/stat?c=problem_statement&amp;pm=11791&amp;rd=14727","EllysCheckers")</f>
        <v/>
      </c>
      <c r="B34" s="498" t="inlineStr">
        <is>
          <t>SRM534-D1-250</t>
        </is>
      </c>
      <c r="C34" s="418" t="n"/>
      <c r="D34" s="418" t="n"/>
      <c r="E34" s="418" t="n"/>
      <c r="F34" s="418" t="n"/>
      <c r="G34" s="418" t="n"/>
      <c r="H34" s="418" t="n"/>
      <c r="I34" s="404">
        <f>SUM(E34:H34)</f>
        <v/>
      </c>
      <c r="J34" s="404" t="n"/>
      <c r="K34" s="404" t="n"/>
      <c r="L34" s="295" t="n"/>
      <c r="M34" s="295" t="n"/>
    </row>
    <row r="35" ht="23.25" customHeight="1" s="279">
      <c r="A35" s="491">
        <f>HYPERLINK("https://community.topcoder.com/stat?c=problem_statement&amp;pm=11566&amp;rd=14547","RowAndCoins")</f>
        <v/>
      </c>
      <c r="B35" s="498" t="inlineStr">
        <is>
          <t>SRM522-D1-250</t>
        </is>
      </c>
      <c r="C35" s="418" t="n"/>
      <c r="D35" s="418" t="n"/>
      <c r="E35" s="418" t="n"/>
      <c r="F35" s="418" t="n"/>
      <c r="G35" s="418" t="n"/>
      <c r="H35" s="418" t="n"/>
      <c r="I35" s="404">
        <f>SUM(E35:H35)</f>
        <v/>
      </c>
      <c r="J35" s="404" t="n"/>
      <c r="K35" s="404" t="n"/>
      <c r="L35" s="295" t="n"/>
      <c r="M35" s="295" t="n"/>
    </row>
    <row r="36" ht="15.75" customHeight="1" s="279">
      <c r="A36" s="491">
        <f>HYPERLINK("https://community.topcoder.com/stat?c=problem_statement&amp;pm=3491&amp;rd=6517","BagsOfGold")</f>
        <v/>
      </c>
      <c r="B36" s="498" t="inlineStr">
        <is>
          <t>SRM228-D1-500</t>
        </is>
      </c>
      <c r="C36" s="418" t="n"/>
      <c r="D36" s="418" t="n"/>
      <c r="E36" s="418" t="n"/>
      <c r="F36" s="418" t="n"/>
      <c r="G36" s="418" t="n"/>
      <c r="H36" s="418" t="n"/>
      <c r="I36" s="404">
        <f>SUM(E36:H36)</f>
        <v/>
      </c>
      <c r="J36" s="404" t="n"/>
      <c r="K36" s="404" t="n"/>
      <c r="L36" s="295" t="n"/>
      <c r="M36" s="295" t="n"/>
    </row>
    <row r="37" ht="15.75" customHeight="1" s="279">
      <c r="A37" s="432" t="inlineStr">
        <is>
          <t>Bag of mice</t>
        </is>
      </c>
      <c r="B37" s="316">
        <f>HYPERLINK("http://codeforces.com/contest/148/problem/D","CF148-D2-D")</f>
        <v/>
      </c>
      <c r="C37" s="418" t="n"/>
      <c r="D37" s="418" t="n"/>
      <c r="E37" s="418" t="n"/>
      <c r="F37" s="418" t="n"/>
      <c r="G37" s="418" t="n"/>
      <c r="H37" s="418" t="n"/>
      <c r="I37" s="404">
        <f>SUM(E37:H37)</f>
        <v/>
      </c>
      <c r="J37" s="295" t="n"/>
      <c r="K37" s="295" t="n"/>
      <c r="L37" s="295" t="n"/>
      <c r="M37" s="295" t="n"/>
    </row>
    <row r="38" ht="15.75" customHeight="1" s="279">
      <c r="A38" s="496" t="n"/>
      <c r="B38" s="497">
        <f>HYPERLINK("https://codeforces.com/contest/1147/problem/B" , "CF1147-D1-B")</f>
        <v/>
      </c>
      <c r="C38" s="418" t="n"/>
      <c r="D38" s="418" t="n"/>
      <c r="E38" s="418" t="n"/>
      <c r="F38" s="418" t="n"/>
      <c r="G38" s="418" t="n"/>
      <c r="H38" s="418" t="n"/>
      <c r="I38" s="404">
        <f>SUM(E38:H38)</f>
        <v/>
      </c>
      <c r="J38" s="404" t="n"/>
      <c r="K38" s="404" t="n"/>
      <c r="L38" s="295" t="n"/>
      <c r="M38" s="304" t="n"/>
    </row>
    <row r="39" ht="15.75" customHeight="1" s="279">
      <c r="A39" s="496" t="inlineStr">
        <is>
          <t>MELE3</t>
        </is>
      </c>
      <c r="B39" s="497">
        <f>HYPERLINK("http://www.spoj.com/problems/MELE3/","SPOJ MELE3")</f>
        <v/>
      </c>
      <c r="C39" s="418" t="n"/>
      <c r="D39" s="418" t="n"/>
      <c r="E39" s="418" t="n"/>
      <c r="F39" s="418" t="n"/>
      <c r="G39" s="418" t="n"/>
      <c r="H39" s="418" t="n"/>
      <c r="I39" s="404">
        <f>SUM(E39:H39)</f>
        <v/>
      </c>
      <c r="J39" s="404" t="n"/>
      <c r="K39" s="404" t="n"/>
      <c r="L39" s="295" t="n"/>
      <c r="M39" s="474">
        <f>HYPERLINK("https://github.com/VAMPIER000001/CompetitiveProgramming/blob/a5d714fa4de45e50f87306d421ec6c3c02026f76/Spoj/SPOJ%20MELE3.Cpp","Sol")</f>
        <v/>
      </c>
    </row>
    <row r="40" ht="15.75" customHeight="1" s="279">
      <c r="A40" s="496" t="inlineStr">
        <is>
          <t>Roads</t>
        </is>
      </c>
      <c r="B40" s="497">
        <f>HYPERLINK("http://www.spoj.com/problems/ROADS/en/","SPOJ ROADS")</f>
        <v/>
      </c>
      <c r="C40" s="418" t="n"/>
      <c r="D40" s="418" t="n"/>
      <c r="E40" s="418" t="n"/>
      <c r="F40" s="418" t="n"/>
      <c r="G40" s="418" t="n"/>
      <c r="H40" s="418" t="n"/>
      <c r="I40" s="404">
        <f>SUM(E40:H40)</f>
        <v/>
      </c>
      <c r="J40" s="404" t="n"/>
      <c r="K40" s="404" t="n"/>
      <c r="L40" s="295" t="n"/>
      <c r="M40" s="474">
        <f>HYPERLINK("https://github.com/mostafa-saad/MyCompetitiveProgramming/blob/master/SPOJ/SPOJ_ROADS.txt","Sol")</f>
        <v/>
      </c>
    </row>
    <row r="41" ht="15.75" customHeight="1" s="279">
      <c r="A41" s="496" t="inlineStr">
        <is>
          <t>The Tree Root</t>
        </is>
      </c>
      <c r="B41" s="497">
        <f>HYPERLINK("https://uva.onlinejudge.org/index.php?option=onlinejudge&amp;page=show_problem&amp;problem=1400","UVA 10459")</f>
        <v/>
      </c>
      <c r="C41" s="418" t="n"/>
      <c r="D41" s="418" t="n"/>
      <c r="E41" s="418" t="n"/>
      <c r="F41" s="418" t="n"/>
      <c r="G41" s="418" t="n"/>
      <c r="H41" s="418" t="n"/>
      <c r="I41" s="404">
        <f>SUM(E41:H41)</f>
        <v/>
      </c>
      <c r="J41" s="404" t="n"/>
      <c r="K41" s="404" t="n"/>
      <c r="L41" s="295" t="n"/>
      <c r="M41" s="474">
        <f>HYPERLINK("https://github.com/VAMPIER000001/CompetitiveProgramming/blob/master/UVA/V-104/UVA%2010459.Cpp","Sol")</f>
        <v/>
      </c>
    </row>
    <row r="42" ht="15.75" customHeight="1" s="279">
      <c r="A42" s="496" t="inlineStr">
        <is>
          <t>SKYLINE</t>
        </is>
      </c>
      <c r="B42" s="497">
        <f>HYPERLINK("https://uva.onlinejudge.org/index.php?option=com_onlinejudge&amp;Itemid=8&amp;page=show_problem&amp;problem=3673","UVA 1232")</f>
        <v/>
      </c>
      <c r="C42" s="418" t="n"/>
      <c r="D42" s="418" t="n"/>
      <c r="E42" s="418" t="n"/>
      <c r="F42" s="418" t="n"/>
      <c r="G42" s="418" t="n"/>
      <c r="H42" s="418" t="n"/>
      <c r="I42" s="404">
        <f>SUM(E42:H42)</f>
        <v/>
      </c>
      <c r="J42" s="295" t="n"/>
      <c r="K42" s="295" t="n"/>
      <c r="M42" s="474">
        <f>HYPERLINK("https://github.com/mostafa-saad/MyCompetitiveProgramming/blob/master/UVA/UVA_1232.txt","Sol")</f>
        <v/>
      </c>
    </row>
    <row r="43" ht="15.75" customHeight="1" s="279">
      <c r="A43" s="437" t="inlineStr">
        <is>
          <t>Ordering the Soldiers</t>
        </is>
      </c>
      <c r="B43" s="317">
        <f>HYPERLINK("http://www.spoj.com/problems/ORDERS/","SPOJ ORDERS")</f>
        <v/>
      </c>
      <c r="C43" s="418" t="n"/>
      <c r="D43" s="418" t="n"/>
      <c r="E43" s="418" t="n"/>
      <c r="F43" s="418" t="n"/>
      <c r="G43" s="418" t="n"/>
      <c r="H43" s="418" t="n"/>
      <c r="I43" s="404">
        <f>SUM(E43:H43)</f>
        <v/>
      </c>
      <c r="J43" s="295" t="n"/>
      <c r="K43" s="295" t="n"/>
      <c r="M43" s="474">
        <f>HYPERLINK("https://github.com/mostafa-saad/MyCompetitiveProgramming/blob/master/SPOJ/SPOJ_ORDERS.txt","Sol")</f>
        <v/>
      </c>
    </row>
    <row r="44" ht="15.75" customHeight="1" s="279">
      <c r="A44" s="437" t="inlineStr">
        <is>
          <t>Playlist</t>
        </is>
      </c>
      <c r="B44" s="438">
        <f>HYPERLINK("http://codeforces.com/contest/268/problem/E","CF268-D2-E")</f>
        <v/>
      </c>
      <c r="C44" s="418" t="n"/>
      <c r="D44" s="418" t="n"/>
      <c r="E44" s="418" t="n"/>
      <c r="F44" s="418" t="n"/>
      <c r="G44" s="418" t="n"/>
      <c r="H44" s="418" t="n"/>
      <c r="I44" s="404">
        <f>SUM(E44:H44)</f>
        <v/>
      </c>
      <c r="J44" s="295" t="n"/>
      <c r="K44" s="295" t="n"/>
      <c r="M44" s="474">
        <f>HYPERLINK("https://github.com/3agwa/CompetitiveProgramming/blob/master/CodeForces/CF268-D2-E.cpp","Sol")</f>
        <v/>
      </c>
    </row>
    <row r="45" ht="15.75" customHeight="1" s="279">
      <c r="A45" s="437" t="n"/>
      <c r="B45" s="437" t="inlineStr">
        <is>
          <t>SRM481-D1-500</t>
        </is>
      </c>
      <c r="C45" s="418" t="n"/>
      <c r="D45" s="418" t="n"/>
      <c r="E45" s="418" t="n"/>
      <c r="F45" s="418" t="n"/>
      <c r="G45" s="418" t="n"/>
      <c r="H45" s="418" t="n"/>
      <c r="I45" s="404">
        <f>SUM(E45:H45)</f>
        <v/>
      </c>
      <c r="J45" s="295" t="n"/>
      <c r="K45" s="295" t="n"/>
      <c r="L45" s="295" t="n"/>
      <c r="M45" s="304" t="n"/>
    </row>
    <row r="46" ht="15.75" customHeight="1" s="279">
      <c r="A46" s="304" t="n"/>
      <c r="B46" s="295" t="n"/>
      <c r="C46" s="418" t="n"/>
      <c r="D46" s="418" t="n"/>
      <c r="E46" s="418" t="n"/>
      <c r="F46" s="418" t="n"/>
      <c r="G46" s="418" t="n"/>
      <c r="H46" s="418" t="n"/>
      <c r="I46" s="404">
        <f>SUM(E46:H46)</f>
        <v/>
      </c>
      <c r="J46" s="404" t="n"/>
      <c r="K46" s="404" t="n"/>
      <c r="L46" s="295" t="n"/>
      <c r="M46" s="295" t="n"/>
    </row>
    <row r="47" ht="15.75" customHeight="1" s="279">
      <c r="A47" s="295" t="inlineStr">
        <is>
          <t>Little Girl and Maximum XOR</t>
        </is>
      </c>
      <c r="B47" s="419">
        <f>HYPERLINK("http://codeforces.com/contest/276/problem/D","CF276-D2-D")</f>
        <v/>
      </c>
      <c r="C47" s="418" t="n"/>
      <c r="D47" s="418" t="n"/>
      <c r="E47" s="418" t="n"/>
      <c r="F47" s="418" t="n"/>
      <c r="G47" s="418" t="n"/>
      <c r="H47" s="418" t="n"/>
      <c r="I47" s="404">
        <f>SUM(E47:H47)</f>
        <v/>
      </c>
      <c r="J47" s="295" t="n"/>
      <c r="K47" s="295" t="n"/>
      <c r="M47" s="419">
        <f>HYPERLINK("http://codeforces.com/blog/entry/6779","See editorials")</f>
        <v/>
      </c>
    </row>
    <row r="48" ht="15.75" customHeight="1" s="279">
      <c r="A48" s="304" t="inlineStr">
        <is>
          <t>Two Strings</t>
        </is>
      </c>
      <c r="B48" s="419">
        <f>HYPERLINK("http://codeforces.com/contest/224/problem/D","CF224-D2-D")</f>
        <v/>
      </c>
      <c r="C48" s="418" t="n"/>
      <c r="D48" s="418" t="n"/>
      <c r="E48" s="418" t="n"/>
      <c r="F48" s="418" t="n"/>
      <c r="G48" s="418" t="n"/>
      <c r="H48" s="418" t="n"/>
      <c r="I48" s="404">
        <f>SUM(E48:H48)</f>
        <v/>
      </c>
      <c r="J48" s="404" t="n"/>
      <c r="K48" s="404" t="n"/>
      <c r="L48" s="295" t="n"/>
      <c r="M48" s="474">
        <f>HYPERLINK("https://github.com/abdullaAshraf/Problem-Solving/blob/master/CodeForces/CF224-D2-D.cpp","Sol")</f>
        <v/>
      </c>
    </row>
    <row r="49" ht="15.75" customHeight="1" s="279">
      <c r="A49" s="304" t="inlineStr">
        <is>
          <t>Big Maximum Sum</t>
        </is>
      </c>
      <c r="B49" s="419">
        <f>HYPERLINK("http://codeforces.com/contest/75/problem/D","CF75-D2-D")</f>
        <v/>
      </c>
      <c r="C49" s="418" t="n"/>
      <c r="D49" s="418" t="n"/>
      <c r="E49" s="418" t="n"/>
      <c r="F49" s="418" t="n"/>
      <c r="G49" s="418" t="n"/>
      <c r="H49" s="418" t="n"/>
      <c r="I49" s="404">
        <f>SUM(E49:H49)</f>
        <v/>
      </c>
      <c r="J49" s="404" t="n"/>
      <c r="K49" s="404" t="n"/>
      <c r="L49" s="295" t="n"/>
    </row>
    <row r="50" ht="15.75" customHeight="1" s="279">
      <c r="A50" s="304" t="n"/>
      <c r="B50" s="295" t="inlineStr">
        <is>
          <t>SPOJ BRCKTS2</t>
        </is>
      </c>
      <c r="C50" s="418" t="n"/>
      <c r="D50" s="418" t="n"/>
      <c r="E50" s="418" t="n"/>
      <c r="F50" s="418" t="n"/>
      <c r="G50" s="418" t="n"/>
      <c r="H50" s="418" t="n"/>
      <c r="I50" s="404">
        <f>SUM(E50:H50)</f>
        <v/>
      </c>
      <c r="J50" s="404" t="n"/>
      <c r="K50" s="404" t="n"/>
      <c r="L50" s="295" t="n"/>
      <c r="M50" s="327">
        <f>HYPERLINK("https://github.com/MedoN11/CompetitiveProgramming/blob/master/SPOJ/BRCKTS2.cpp","Sol")</f>
        <v/>
      </c>
    </row>
    <row r="51" ht="15.75" customHeight="1" s="279">
      <c r="A51" s="304" t="n"/>
      <c r="B51" s="419">
        <f>HYPERLINK("https://codeforces.com/contest/1057/problem/C","CF1057-D12-C")</f>
        <v/>
      </c>
      <c r="C51" s="418" t="n"/>
      <c r="D51" s="418" t="n"/>
      <c r="E51" s="418" t="n"/>
      <c r="F51" s="418" t="n"/>
      <c r="G51" s="418" t="n"/>
      <c r="H51" s="418" t="n"/>
      <c r="I51" s="404">
        <f>SUM(E51:H51)</f>
        <v/>
      </c>
      <c r="J51" s="404" t="n"/>
      <c r="K51" s="404" t="n"/>
      <c r="L51" s="295" t="n"/>
    </row>
    <row r="52" ht="15.75" customHeight="1" s="279">
      <c r="A52" s="304" t="n"/>
      <c r="B52" s="419">
        <f>HYPERLINK("https://codeforces.com/contest/1066/problem/F","CF1066-D3-F")</f>
        <v/>
      </c>
      <c r="C52" s="418" t="n"/>
      <c r="D52" s="418" t="n"/>
      <c r="E52" s="418" t="n"/>
      <c r="F52" s="418" t="n"/>
      <c r="G52" s="418" t="n"/>
      <c r="H52" s="418" t="n"/>
      <c r="I52" s="404">
        <f>SUM(E52:H52)</f>
        <v/>
      </c>
      <c r="J52" s="404" t="n"/>
      <c r="K52" s="404" t="n"/>
      <c r="L52" s="295" t="n"/>
    </row>
    <row r="53" ht="15.75" customHeight="1" s="279">
      <c r="A53" s="304" t="n"/>
      <c r="B53" s="419">
        <f>HYPERLINK("https://codeforces.com/contest/1064/problem/E","CF1064-D2-E")</f>
        <v/>
      </c>
      <c r="C53" s="418" t="n"/>
      <c r="D53" s="418" t="n"/>
      <c r="E53" s="418" t="n"/>
      <c r="F53" s="418" t="n"/>
      <c r="G53" s="418" t="n"/>
      <c r="H53" s="418" t="n"/>
      <c r="I53" s="404">
        <f>SUM(E53:H53)</f>
        <v/>
      </c>
      <c r="J53" s="404" t="n"/>
      <c r="K53" s="404" t="n"/>
      <c r="L53" s="295" t="n"/>
    </row>
    <row r="54" ht="15.75" customHeight="1" s="279">
      <c r="A54" s="304" t="n"/>
      <c r="B54" s="419">
        <f>HYPERLINK("http://codeforces.com/contest/459/problem/E","CF459-D2-E")</f>
        <v/>
      </c>
      <c r="C54" s="418" t="n"/>
      <c r="D54" s="418" t="n"/>
      <c r="E54" s="418" t="n"/>
      <c r="F54" s="418" t="n"/>
      <c r="G54" s="418" t="n"/>
      <c r="H54" s="418" t="n"/>
      <c r="I54" s="404">
        <f>SUM(E54:H54)</f>
        <v/>
      </c>
      <c r="J54" s="404" t="n"/>
      <c r="K54" s="404" t="n"/>
      <c r="L54" s="295" t="n"/>
    </row>
    <row r="55" ht="15.75" customHeight="1" s="279">
      <c r="A55" s="304" t="n"/>
      <c r="B55" s="295" t="inlineStr">
        <is>
          <t>UVA 10888</t>
        </is>
      </c>
      <c r="C55" s="418" t="n"/>
      <c r="D55" s="418" t="n"/>
      <c r="E55" s="418" t="n"/>
      <c r="F55" s="418" t="n"/>
      <c r="G55" s="418" t="n"/>
      <c r="H55" s="418" t="n"/>
      <c r="I55" s="404">
        <f>SUM(E55:H55)</f>
        <v/>
      </c>
      <c r="J55" s="404" t="n"/>
      <c r="K55" s="404" t="n"/>
      <c r="L55" s="295" t="n"/>
    </row>
    <row r="56" ht="15.75" customHeight="1" s="279">
      <c r="A56" s="304" t="n"/>
      <c r="B56" s="419">
        <f>HYPERLINK("http://codeforces.com/contest/1043/problem/D","CF1043-D12-D")</f>
        <v/>
      </c>
      <c r="C56" s="418" t="n"/>
      <c r="D56" s="418" t="n"/>
      <c r="E56" s="418" t="n"/>
      <c r="F56" s="418" t="n"/>
      <c r="G56" s="418" t="n"/>
      <c r="H56" s="418" t="n"/>
      <c r="I56" s="404">
        <f>SUM(E56:H56)</f>
        <v/>
      </c>
      <c r="J56" s="404" t="n"/>
      <c r="K56" s="404" t="n"/>
      <c r="L56" s="295" t="n"/>
    </row>
    <row r="57" ht="15.75" customHeight="1" s="279">
      <c r="A57" s="482" t="inlineStr">
        <is>
          <t>Football Championship</t>
        </is>
      </c>
      <c r="B57" s="318">
        <f>HYPERLINK("http://codeforces.com/contest/200/problem/C","CF200-D2-C")</f>
        <v/>
      </c>
      <c r="C57" s="418" t="n"/>
      <c r="D57" s="418" t="n"/>
      <c r="E57" s="418" t="n"/>
      <c r="F57" s="418" t="n"/>
      <c r="G57" s="418" t="n"/>
      <c r="H57" s="418" t="n"/>
      <c r="I57" s="404">
        <f>SUM(E57:H57)</f>
        <v/>
      </c>
      <c r="J57" s="404" t="n"/>
      <c r="K57" s="404" t="n"/>
      <c r="L57" s="295" t="n"/>
      <c r="M57" s="295" t="n"/>
    </row>
    <row r="58" ht="15.75" customHeight="1" s="279">
      <c r="A58" s="482" t="inlineStr">
        <is>
          <t>Given Length and Sum of Digits...</t>
        </is>
      </c>
      <c r="B58" s="318">
        <f>HYPERLINK("http://codeforces.com/contest/489/problem/C","CF489-D2-C")</f>
        <v/>
      </c>
      <c r="C58" s="418" t="n"/>
      <c r="D58" s="418" t="n"/>
      <c r="E58" s="418" t="n"/>
      <c r="F58" s="418" t="n"/>
      <c r="G58" s="418" t="n"/>
      <c r="H58" s="418" t="n"/>
      <c r="I58" s="404">
        <f>SUM(E58:H58)</f>
        <v/>
      </c>
      <c r="J58" s="404" t="n"/>
      <c r="K58" s="404" t="n"/>
      <c r="L58" s="295" t="n"/>
      <c r="M58" s="295" t="n"/>
    </row>
    <row r="59" ht="15.75" customHeight="1" s="279">
      <c r="A59" s="304" t="n"/>
      <c r="B59" s="295" t="n"/>
      <c r="C59" s="418" t="n"/>
      <c r="D59" s="418" t="n"/>
      <c r="E59" s="418" t="n"/>
      <c r="F59" s="418" t="n"/>
      <c r="G59" s="418" t="n"/>
      <c r="H59" s="418" t="n"/>
      <c r="I59" s="404">
        <f>SUM(E59:H59)</f>
        <v/>
      </c>
      <c r="J59" s="404" t="n"/>
      <c r="K59" s="404" t="n"/>
      <c r="L59" s="295" t="n"/>
      <c r="M59" s="295" t="n"/>
    </row>
    <row r="60" ht="15.75" customHeight="1" s="279">
      <c r="A60" s="496" t="inlineStr">
        <is>
          <t>Trip Routing</t>
        </is>
      </c>
      <c r="B60" s="497">
        <f>HYPERLINK("https://uva.onlinejudge.org/index.php?option=onlinejudge&amp;page=show_problem&amp;problem=122","UVA 186")</f>
        <v/>
      </c>
      <c r="C60" s="418" t="n"/>
      <c r="D60" s="418" t="n"/>
      <c r="E60" s="418" t="n"/>
      <c r="F60" s="418" t="n"/>
      <c r="G60" s="418" t="n"/>
      <c r="H60" s="418" t="n"/>
      <c r="I60" s="404">
        <f>SUM(E60:H60)</f>
        <v/>
      </c>
      <c r="J60" s="404" t="n"/>
      <c r="K60" s="404" t="n"/>
      <c r="L60" s="295" t="n"/>
      <c r="M60" s="474">
        <f>HYPERLINK("https://github.com/VAMPIER000001/CompetitiveProgramming/blob/master/UVA/V-1/UVA%20186.Cpp","Sol")</f>
        <v/>
      </c>
    </row>
    <row r="61" ht="15.75" customHeight="1" s="279">
      <c r="A61" s="496" t="inlineStr">
        <is>
          <t>Scheduling Lectures</t>
        </is>
      </c>
      <c r="B61" s="497">
        <f>HYPERLINK("https://uva.onlinejudge.org/index.php?option=onlinejudge&amp;page=show_problem&amp;problem=548","UVA 607")</f>
        <v/>
      </c>
      <c r="C61" s="418" t="n"/>
      <c r="D61" s="418" t="n"/>
      <c r="E61" s="418" t="n"/>
      <c r="F61" s="418" t="n"/>
      <c r="G61" s="418" t="n"/>
      <c r="H61" s="418" t="n"/>
      <c r="I61" s="404">
        <f>SUM(E61:H61)</f>
        <v/>
      </c>
      <c r="J61" s="404" t="n"/>
      <c r="K61" s="404" t="n"/>
      <c r="M61" s="474">
        <f>HYPERLINK("https://github.com/MichaelMounir12/CompetitiveProgramming/blob/69c0dba2b0b29083ebad94dfd18be25dcf903235/UVA/UVA_607.cpp","Sol")</f>
        <v/>
      </c>
    </row>
    <row r="62" ht="15.75" customHeight="1" s="279">
      <c r="A62" s="496" t="inlineStr">
        <is>
          <t>Weird Function</t>
        </is>
      </c>
      <c r="B62" s="497">
        <f>HYPERLINK("http://www.spoj.com/problems/WEIRDFN/","SPOJ WEIRDFN")</f>
        <v/>
      </c>
      <c r="C62" s="418" t="n"/>
      <c r="D62" s="418" t="n"/>
      <c r="E62" s="418" t="n"/>
      <c r="F62" s="418" t="n"/>
      <c r="G62" s="418" t="n"/>
      <c r="H62" s="418" t="n"/>
      <c r="I62" s="404">
        <f>SUM(E62:H62)</f>
        <v/>
      </c>
      <c r="J62" s="404" t="n"/>
      <c r="K62" s="404" t="n"/>
      <c r="M62" s="474">
        <f>HYPERLINK("https://github.com/mostafa-saad/MyCompetitiveProgramming/blob/master/SPOJ/SPOJ_WEIRDFN.txt","Sol")</f>
        <v/>
      </c>
    </row>
    <row r="63" ht="15.75" customHeight="1" s="279">
      <c r="A63" s="496" t="inlineStr">
        <is>
          <t>The ? 1 ? 2 ? ... ? n = k problem</t>
        </is>
      </c>
      <c r="B63" s="497">
        <f>HYPERLINK("https://uva.onlinejudge.org/index.php?option=com_onlinejudge&amp;Itemid=8&amp;page=show_problem&amp;problem=966","UVA 10025")</f>
        <v/>
      </c>
      <c r="C63" s="418" t="n"/>
      <c r="D63" s="418" t="n"/>
      <c r="E63" s="418" t="n"/>
      <c r="F63" s="418" t="n"/>
      <c r="G63" s="418" t="n"/>
      <c r="H63" s="418" t="n"/>
      <c r="I63" s="404">
        <f>SUM(E63:H63)</f>
        <v/>
      </c>
      <c r="J63" s="404" t="n"/>
      <c r="K63" s="404" t="n"/>
      <c r="L63" s="295" t="n"/>
      <c r="M63" s="304" t="n"/>
    </row>
    <row r="64" ht="15.75" customHeight="1" s="279">
      <c r="A64" s="496" t="inlineStr">
        <is>
          <t>Dictionary Subsequences</t>
        </is>
      </c>
      <c r="B64" s="497">
        <f>HYPERLINK("http://www.spoj.com/problems/DICTSUB/","SPOJ DICTSUB")</f>
        <v/>
      </c>
      <c r="C64" s="418" t="n"/>
      <c r="D64" s="418" t="n"/>
      <c r="E64" s="418" t="n"/>
      <c r="F64" s="418" t="n"/>
      <c r="G64" s="418" t="n"/>
      <c r="H64" s="418" t="n"/>
      <c r="I64" s="404">
        <f>SUM(E64:H64)</f>
        <v/>
      </c>
      <c r="J64" s="404" t="n"/>
      <c r="K64" s="404" t="n"/>
      <c r="L64" s="295" t="n"/>
      <c r="M64" s="474">
        <f>HYPERLINK("https://github.com/VAMPIER000001/CompetitiveProgramming/blob/master/Spoj/SPOJ%20DICTSUB.Cpp","Sol")</f>
        <v/>
      </c>
    </row>
    <row r="65" ht="15.75" customHeight="1" s="279">
      <c r="A65" s="496" t="inlineStr">
        <is>
          <t>Jimmi's Riddles</t>
        </is>
      </c>
      <c r="B65" s="497">
        <f>HYPERLINK("https://uva.onlinejudge.org/index.php?option=com_onlinejudge&amp;Itemid=8&amp;page=show_problem&amp;problem=999","UVA 10058")</f>
        <v/>
      </c>
      <c r="C65" s="418" t="n"/>
      <c r="D65" s="418" t="n"/>
      <c r="E65" s="418" t="n"/>
      <c r="F65" s="418" t="n"/>
      <c r="G65" s="418" t="n"/>
      <c r="H65" s="418" t="n"/>
      <c r="I65" s="404">
        <f>SUM(E65:H65)</f>
        <v/>
      </c>
      <c r="J65" s="404" t="n"/>
      <c r="K65" s="404" t="n"/>
      <c r="M65" s="474">
        <f>HYPERLINK("https://github.com/ackoroa/UVa-Solutions/blob/master/UVa%2010058%20-%20Jimmi's%20Riddles/src/Main.java","Sol")</f>
        <v/>
      </c>
    </row>
    <row r="66" ht="15.75" customHeight="1" s="279">
      <c r="A66" s="437" t="inlineStr">
        <is>
          <t>Friends and Subsequences</t>
        </is>
      </c>
      <c r="B66" s="317">
        <f>HYPERLINK("http://codeforces.com/contest/689/problem/D","CF689-D2-D")</f>
        <v/>
      </c>
      <c r="C66" s="418" t="n"/>
      <c r="D66" s="418" t="n"/>
      <c r="E66" s="418" t="n"/>
      <c r="F66" s="418" t="n"/>
      <c r="G66" s="418" t="n"/>
      <c r="H66" s="418" t="n"/>
      <c r="I66" s="404">
        <f>SUM(E66:H66)</f>
        <v/>
      </c>
      <c r="J66" s="295" t="n"/>
      <c r="K66" s="295" t="n"/>
      <c r="M66" s="304" t="n"/>
    </row>
    <row r="67" ht="15.75" customHeight="1" s="279">
      <c r="A67" s="496" t="inlineStr">
        <is>
          <t>Sum of Squares with Segment Tree</t>
        </is>
      </c>
      <c r="B67" s="497">
        <f>HYPERLINK("http://www.spoj.com/problems/SEGSQRSS","SPOJ SEGSQRSS")</f>
        <v/>
      </c>
      <c r="C67" s="418" t="n"/>
      <c r="D67" s="418" t="n"/>
      <c r="E67" s="418" t="n"/>
      <c r="F67" s="418" t="n"/>
      <c r="G67" s="418" t="n"/>
      <c r="H67" s="418" t="n"/>
      <c r="I67" s="404">
        <f>SUM(E67:H67)</f>
        <v/>
      </c>
      <c r="J67" s="404" t="n"/>
      <c r="K67" s="404" t="n"/>
      <c r="M67" s="474">
        <f>HYPERLINK("https://github.com/MichaelMounir12/CompetitiveProgramming/blob/9c6e99fc3a2583209a313ddd617a07ac294024e9/SPOJ/SPOJ_SEGSQRSS.cpp","Sol")</f>
        <v/>
      </c>
    </row>
    <row r="68" ht="15.75" customHeight="1" s="279">
      <c r="A68" s="496" t="inlineStr">
        <is>
          <t>Travel in Desert</t>
        </is>
      </c>
      <c r="B68" s="497">
        <f>HYPERLINK("https://uva.onlinejudge.org/index.php?option=onlinejudge&amp;page=show_problem&amp;problem=1757","UVA 10816")</f>
        <v/>
      </c>
      <c r="C68" s="418" t="n"/>
      <c r="D68" s="418" t="n"/>
      <c r="E68" s="418" t="n"/>
      <c r="F68" s="418" t="n"/>
      <c r="G68" s="418" t="n"/>
      <c r="H68" s="418" t="n"/>
      <c r="I68" s="404">
        <f>SUM(E68:H68)</f>
        <v/>
      </c>
      <c r="J68" s="404" t="n"/>
      <c r="K68" s="404" t="n"/>
      <c r="M68" s="474">
        <f>HYPERLINK("https://github.com/VAMPIER000001/CompetitiveProgramming/blob/master/UVA/V-108/UVA%2010816.Cpp","Sol")</f>
        <v/>
      </c>
    </row>
    <row r="69" ht="15.75" customHeight="1" s="279">
      <c r="A69" s="437" t="inlineStr">
        <is>
          <t>Almost Union-Find</t>
        </is>
      </c>
      <c r="B69" s="437" t="inlineStr">
        <is>
          <t>UVA 11987</t>
        </is>
      </c>
      <c r="C69" s="418" t="n"/>
      <c r="D69" s="418" t="n"/>
      <c r="E69" s="418" t="n"/>
      <c r="F69" s="418" t="n"/>
      <c r="G69" s="418" t="n"/>
      <c r="H69" s="418" t="n"/>
      <c r="I69" s="404">
        <f>SUM(E69:H69)</f>
        <v/>
      </c>
      <c r="J69" s="295" t="n"/>
      <c r="K69" s="295" t="n"/>
      <c r="M69" s="474">
        <f>HYPERLINK("https://github.com/VAMPIER000001/CompetitiveProgramming/blob/master/UVA/V-119/UVA%2011987.Cpp","Sol")</f>
        <v/>
      </c>
    </row>
    <row r="70" ht="15.75" customHeight="1" s="279">
      <c r="A70" s="437" t="n"/>
      <c r="B70" s="437" t="inlineStr">
        <is>
          <t>SRM537-D2-1000</t>
        </is>
      </c>
      <c r="C70" s="418" t="n"/>
      <c r="D70" s="418" t="n"/>
      <c r="E70" s="418" t="n"/>
      <c r="F70" s="418" t="n"/>
      <c r="G70" s="418" t="n"/>
      <c r="H70" s="418" t="n"/>
      <c r="I70" s="404">
        <f>SUM(E70:H70)</f>
        <v/>
      </c>
      <c r="J70" s="295" t="n"/>
      <c r="K70" s="295" t="n"/>
      <c r="M70" s="304" t="n"/>
    </row>
    <row r="71" ht="15.75" customHeight="1" s="279">
      <c r="A71" s="437" t="n"/>
      <c r="B71" s="438">
        <f>HYPERLINK("http://codeforces.com/contest/513/problem/C","CF513-D12-C")</f>
        <v/>
      </c>
      <c r="C71" s="418" t="n"/>
      <c r="D71" s="418" t="n"/>
      <c r="E71" s="418" t="n"/>
      <c r="F71" s="418" t="n"/>
      <c r="G71" s="418" t="n"/>
      <c r="H71" s="418" t="n"/>
      <c r="I71" s="404">
        <f>SUM(E71:H71)</f>
        <v/>
      </c>
      <c r="J71" s="295" t="n"/>
      <c r="K71" s="295" t="n"/>
      <c r="M71" s="474">
        <f>HYPERLINK("https://github.com/aabdelzaher/Competitive-Programming/blob/master/Codeforces/CF513-D12-C.java","Sol")</f>
        <v/>
      </c>
    </row>
    <row r="72" ht="15.75" customHeight="1" s="279">
      <c r="A72" s="437" t="n"/>
      <c r="B72" s="437" t="inlineStr">
        <is>
          <t>SRM453.5-D2-1000</t>
        </is>
      </c>
      <c r="C72" s="418" t="n"/>
      <c r="D72" s="418" t="n"/>
      <c r="E72" s="418" t="n"/>
      <c r="F72" s="418" t="n"/>
      <c r="G72" s="418" t="n"/>
      <c r="H72" s="418" t="n"/>
      <c r="I72" s="404">
        <f>SUM(E72:H72)</f>
        <v/>
      </c>
      <c r="J72" s="295" t="n"/>
      <c r="K72" s="295" t="n"/>
      <c r="M72" s="304" t="n"/>
    </row>
    <row r="73" ht="15.75" customHeight="1" s="279">
      <c r="A73" s="437" t="n"/>
      <c r="B73" s="437" t="inlineStr">
        <is>
          <t>SPOJ PARSUMS</t>
        </is>
      </c>
      <c r="C73" s="418" t="n"/>
      <c r="D73" s="418" t="n"/>
      <c r="E73" s="418" t="n"/>
      <c r="F73" s="418" t="n"/>
      <c r="G73" s="418" t="n"/>
      <c r="H73" s="418" t="n"/>
      <c r="I73" s="404">
        <f>SUM(E73:H73)</f>
        <v/>
      </c>
      <c r="J73" s="295" t="n"/>
      <c r="K73" s="295" t="n"/>
      <c r="M73" s="474">
        <f>HYPERLINK("https://github.com/mostafa-saad/MyCompetitiveProgramming/blob/master/SPOJ/SPOJ_PARSUMS.txt","Sol")</f>
        <v/>
      </c>
    </row>
    <row r="74" ht="15.75" customHeight="1" s="279">
      <c r="A74" s="437" t="n"/>
      <c r="B74" s="438">
        <f>HYPERLINK("https://codeforces.com/contest/1138/problem/D","CF1138-D2-D")</f>
        <v/>
      </c>
      <c r="C74" s="418" t="n"/>
      <c r="D74" s="418" t="n"/>
      <c r="E74" s="418" t="n"/>
      <c r="F74" s="418" t="n"/>
      <c r="G74" s="418" t="n"/>
      <c r="H74" s="418" t="n"/>
      <c r="I74" s="404">
        <f>SUM(E74:H74)</f>
        <v/>
      </c>
      <c r="J74" s="295" t="n"/>
      <c r="K74" s="295" t="n"/>
      <c r="M74" s="304" t="n"/>
    </row>
    <row r="75" ht="15.75" customHeight="1" s="279">
      <c r="A75" s="304" t="n"/>
      <c r="B75" s="295" t="n"/>
      <c r="C75" s="418" t="n"/>
      <c r="D75" s="418" t="n"/>
      <c r="E75" s="418" t="n"/>
      <c r="F75" s="418" t="n"/>
      <c r="G75" s="418" t="n"/>
      <c r="H75" s="418" t="n"/>
      <c r="I75" s="404">
        <f>SUM(E75:H75)</f>
        <v/>
      </c>
      <c r="J75" s="404" t="n"/>
      <c r="K75" s="404" t="n"/>
      <c r="L75" s="295" t="n"/>
      <c r="M75" s="295" t="n"/>
    </row>
    <row r="76" ht="15.75" customHeight="1" s="279">
      <c r="A76" s="295" t="inlineStr">
        <is>
          <t>Cow Program</t>
        </is>
      </c>
      <c r="B76" s="417">
        <f>HYPERLINK("http://codeforces.com/contest/284/problem/D","CF284-D2-D")</f>
        <v/>
      </c>
      <c r="C76" s="418" t="n"/>
      <c r="D76" s="418" t="n"/>
      <c r="E76" s="418" t="n"/>
      <c r="F76" s="418" t="n"/>
      <c r="G76" s="418" t="n"/>
      <c r="H76" s="418" t="n"/>
      <c r="I76" s="404">
        <f>SUM(E76:H76)</f>
        <v/>
      </c>
      <c r="J76" s="295" t="n"/>
      <c r="K76" s="295" t="n"/>
      <c r="L76" s="295" t="n"/>
      <c r="M76" s="295" t="n"/>
    </row>
    <row r="77" ht="15.75" customHeight="1" s="279">
      <c r="A77" s="301" t="inlineStr">
        <is>
          <t>Random Task</t>
        </is>
      </c>
      <c r="B77" s="417">
        <f>HYPERLINK("http://codeforces.com/contest/431/problem/D","CF431-D2-D")</f>
        <v/>
      </c>
      <c r="C77" s="418" t="n"/>
      <c r="D77" s="418" t="n"/>
      <c r="E77" s="418" t="n"/>
      <c r="F77" s="418" t="n"/>
      <c r="G77" s="418" t="n"/>
      <c r="H77" s="418" t="n"/>
      <c r="I77" s="404">
        <f>SUM(E77:H77)</f>
        <v/>
      </c>
      <c r="J77" s="295" t="n"/>
      <c r="K77" s="295" t="n"/>
      <c r="L77" s="295" t="n"/>
      <c r="M77" s="295" t="n"/>
    </row>
    <row r="78" ht="15.75" customHeight="1" s="279">
      <c r="A78" s="304" t="inlineStr">
        <is>
          <t>Greg and Graph</t>
        </is>
      </c>
      <c r="B78" s="421">
        <f>HYPERLINK("http://codeforces.com/contest/296/problem/D","CF296-D2-D")</f>
        <v/>
      </c>
      <c r="C78" s="418" t="n"/>
      <c r="D78" s="418" t="n"/>
      <c r="E78" s="418" t="n"/>
      <c r="F78" s="418" t="n"/>
      <c r="G78" s="418" t="n"/>
      <c r="H78" s="418" t="n"/>
      <c r="I78" s="404">
        <f>SUM(E78:H78)</f>
        <v/>
      </c>
      <c r="J78" s="404" t="n"/>
      <c r="K78" s="404" t="n"/>
      <c r="L78" s="295" t="n"/>
      <c r="M78" s="295" t="n"/>
    </row>
    <row r="79" ht="15.75" customHeight="1" s="279">
      <c r="A79" s="304" t="inlineStr">
        <is>
          <t>Russian Roulette</t>
        </is>
      </c>
      <c r="B79" s="421">
        <f>HYPERLINK("http://codeforces.com/contest/104/problem/D","CF104-D2-D")</f>
        <v/>
      </c>
      <c r="C79" s="418" t="n"/>
      <c r="D79" s="418" t="n"/>
      <c r="E79" s="418" t="n"/>
      <c r="F79" s="418" t="n"/>
      <c r="G79" s="418" t="n"/>
      <c r="H79" s="418" t="n"/>
      <c r="I79" s="404">
        <f>SUM(E79:H79)</f>
        <v/>
      </c>
      <c r="J79" s="404" t="n"/>
      <c r="K79" s="404" t="n"/>
      <c r="L79" s="295" t="n"/>
      <c r="M79" s="295" t="n"/>
    </row>
    <row r="80" ht="15.75" customHeight="1" s="279">
      <c r="A80" s="295" t="inlineStr">
        <is>
          <t>Bicycle Race</t>
        </is>
      </c>
      <c r="B80" s="417">
        <f>HYPERLINK("http://codeforces.com/contest/659/problem/D","CF659-D2-D")</f>
        <v/>
      </c>
      <c r="C80" s="418" t="n"/>
      <c r="D80" s="418" t="n"/>
      <c r="E80" s="418" t="n"/>
      <c r="F80" s="418" t="n"/>
      <c r="G80" s="418" t="n"/>
      <c r="H80" s="418" t="n"/>
      <c r="I80" s="404">
        <f>SUM(E80:H80)</f>
        <v/>
      </c>
      <c r="J80" s="295" t="n"/>
      <c r="K80" s="295" t="n"/>
      <c r="L80" s="295" t="n"/>
      <c r="M80" s="295" t="n"/>
    </row>
    <row r="81" ht="15.75" customHeight="1" s="279">
      <c r="A81" s="295" t="inlineStr">
        <is>
          <t>Greenhouse Effect</t>
        </is>
      </c>
      <c r="B81" s="417">
        <f>HYPERLINK("http://codeforces.com/contest/270/problem/D","CF270-D2-D")</f>
        <v/>
      </c>
      <c r="C81" s="418" t="n"/>
      <c r="D81" s="418" t="n"/>
      <c r="E81" s="418" t="n"/>
      <c r="F81" s="418" t="n"/>
      <c r="G81" s="418" t="n"/>
      <c r="H81" s="418" t="n"/>
      <c r="I81" s="404">
        <f>SUM(E81:H81)</f>
        <v/>
      </c>
      <c r="J81" s="295" t="n"/>
      <c r="K81" s="295" t="n"/>
      <c r="L81" s="295" t="n"/>
      <c r="M81" s="295" t="n"/>
    </row>
    <row r="82" ht="15.75" customHeight="1" s="279">
      <c r="A82" s="295" t="n"/>
      <c r="B82" s="417">
        <f>HYPERLINK("http://codeforces.com/contest/645/problem/D","CF645-D12-D")</f>
        <v/>
      </c>
      <c r="C82" s="418" t="n"/>
      <c r="D82" s="418" t="n"/>
      <c r="E82" s="418" t="n"/>
      <c r="F82" s="418" t="n"/>
      <c r="G82" s="418" t="n"/>
      <c r="H82" s="418" t="n"/>
      <c r="I82" s="404">
        <f>SUM(E82:H82)</f>
        <v/>
      </c>
      <c r="J82" s="295" t="n"/>
      <c r="K82" s="295" t="n"/>
      <c r="L82" s="295" t="n"/>
      <c r="M82" s="295" t="n"/>
    </row>
    <row r="83" ht="15.75" customHeight="1" s="279">
      <c r="A83" s="295" t="n"/>
      <c r="B83" s="417">
        <f>HYPERLINK("http://codeforces.com/contest/459/problem/C","CF459-D2-C")</f>
        <v/>
      </c>
      <c r="C83" s="418" t="n"/>
      <c r="D83" s="418" t="n"/>
      <c r="E83" s="418" t="n"/>
      <c r="F83" s="418" t="n"/>
      <c r="G83" s="418" t="n"/>
      <c r="H83" s="418" t="n"/>
      <c r="I83" s="404">
        <f>SUM(E83:H83)</f>
        <v/>
      </c>
      <c r="J83" s="295" t="n"/>
      <c r="K83" s="295" t="n"/>
      <c r="L83" s="295" t="n"/>
      <c r="M83" s="295" t="n"/>
    </row>
    <row r="84" ht="23.25" customHeight="1" s="279">
      <c r="A84" s="295" t="n"/>
      <c r="B84" s="417">
        <f>HYPERLINK("https://www.codechef.com/ACMIND18/problems/REDCGAME","CODECHEF REDCGAME")</f>
        <v/>
      </c>
      <c r="C84" s="418" t="n"/>
      <c r="D84" s="418" t="n"/>
      <c r="E84" s="418" t="n"/>
      <c r="F84" s="418" t="n"/>
      <c r="G84" s="418" t="n"/>
      <c r="H84" s="418" t="n"/>
      <c r="I84" s="404">
        <f>SUM(E84:H84)</f>
        <v/>
      </c>
      <c r="J84" s="295" t="n"/>
      <c r="K84" s="295" t="n"/>
      <c r="L84" s="295" t="n"/>
      <c r="M84" s="295" t="n"/>
    </row>
    <row r="85" ht="15.75" customHeight="1" s="279">
      <c r="A85" s="295" t="n"/>
      <c r="B85" s="417">
        <f>HYPERLINK("http://codeforces.com/contest/1005/problem/F","CF1005-D3-F")</f>
        <v/>
      </c>
      <c r="C85" s="418" t="n"/>
      <c r="D85" s="418" t="n"/>
      <c r="E85" s="418" t="n"/>
      <c r="F85" s="418" t="n"/>
      <c r="G85" s="418" t="n"/>
      <c r="H85" s="418" t="n"/>
      <c r="I85" s="404">
        <f>SUM(E85:H85)</f>
        <v/>
      </c>
      <c r="J85" s="295" t="n"/>
      <c r="K85" s="295" t="n"/>
      <c r="L85" s="295" t="n"/>
      <c r="M85" s="295" t="n"/>
    </row>
    <row r="86" ht="15.75" customHeight="1" s="279">
      <c r="A86" s="482" t="inlineStr">
        <is>
          <t>Pocket Book</t>
        </is>
      </c>
      <c r="B86" s="318">
        <f>HYPERLINK("http://codeforces.com/contest/152/problem/C","CF152-D2-C")</f>
        <v/>
      </c>
      <c r="C86" s="418" t="n"/>
      <c r="D86" s="418" t="n"/>
      <c r="E86" s="418" t="n"/>
      <c r="F86" s="418" t="n"/>
      <c r="G86" s="418" t="n"/>
      <c r="H86" s="418" t="n"/>
      <c r="I86" s="404">
        <f>SUM(E86:H86)</f>
        <v/>
      </c>
      <c r="J86" s="295" t="n"/>
      <c r="K86" s="295" t="n"/>
      <c r="L86" s="295" t="n"/>
      <c r="M86" s="295" t="n"/>
    </row>
    <row r="87" ht="15.75" customHeight="1" s="279">
      <c r="A87" s="482" t="inlineStr">
        <is>
          <t>Levko and Array Recovery</t>
        </is>
      </c>
      <c r="B87" s="318">
        <f>HYPERLINK("http://codeforces.com/contest/361/problem/C","CF361-D2-C")</f>
        <v/>
      </c>
      <c r="C87" s="418" t="n"/>
      <c r="D87" s="418" t="n"/>
      <c r="E87" s="418" t="n"/>
      <c r="F87" s="418" t="n"/>
      <c r="G87" s="418" t="n"/>
      <c r="H87" s="418" t="n"/>
      <c r="I87" s="404">
        <f>SUM(E87:H87)</f>
        <v/>
      </c>
      <c r="J87" s="295" t="n"/>
      <c r="K87" s="295" t="n"/>
      <c r="L87" s="295" t="n"/>
      <c r="M87" s="295" t="n"/>
    </row>
    <row r="88" ht="15.75" customHeight="1" s="279">
      <c r="A88" s="482" t="inlineStr">
        <is>
          <t>Ice Cave</t>
        </is>
      </c>
      <c r="B88" s="318">
        <f>HYPERLINK("http://codeforces.com/contest/540/problem/C","CF540-D2-C")</f>
        <v/>
      </c>
      <c r="C88" s="418" t="n"/>
      <c r="D88" s="418" t="n"/>
      <c r="E88" s="418" t="n"/>
      <c r="F88" s="418" t="n"/>
      <c r="G88" s="418" t="n"/>
      <c r="H88" s="418" t="n"/>
      <c r="I88" s="404">
        <f>SUM(E88:H88)</f>
        <v/>
      </c>
      <c r="J88" s="295" t="n"/>
      <c r="K88" s="295" t="n"/>
      <c r="L88" s="295" t="n"/>
      <c r="M88" s="295" t="n"/>
    </row>
    <row r="89" ht="15.75" customHeight="1" s="279">
      <c r="A89" s="304" t="n"/>
      <c r="B89" s="295" t="n"/>
      <c r="C89" s="418" t="n"/>
      <c r="D89" s="418" t="n"/>
      <c r="E89" s="418" t="n"/>
      <c r="F89" s="418" t="n"/>
      <c r="G89" s="418" t="n"/>
      <c r="H89" s="418" t="n"/>
      <c r="I89" s="404">
        <f>SUM(E89:H89)</f>
        <v/>
      </c>
      <c r="J89" s="404" t="n"/>
      <c r="K89" s="404" t="n"/>
      <c r="L89" s="295" t="n"/>
      <c r="M89" s="295" t="n"/>
    </row>
    <row r="90" ht="15.75" customHeight="1" s="279">
      <c r="A90" s="496" t="inlineStr">
        <is>
          <t>Robbery</t>
        </is>
      </c>
      <c r="B90" s="497">
        <f>HYPERLINK("https://uva.onlinejudge.org/index.php?option=com_onlinejudge&amp;Itemid=8&amp;page=show_problem&amp;problem=648","UVA 707")</f>
        <v/>
      </c>
      <c r="C90" s="418" t="n"/>
      <c r="D90" s="418" t="n"/>
      <c r="E90" s="418" t="n"/>
      <c r="F90" s="418" t="n"/>
      <c r="G90" s="418" t="n"/>
      <c r="H90" s="418" t="n"/>
      <c r="I90" s="404">
        <f>SUM(E90:H90)</f>
        <v/>
      </c>
      <c r="J90" s="404" t="n"/>
      <c r="K90" s="404" t="n"/>
      <c r="L90" s="295" t="n"/>
      <c r="M90" s="474">
        <f>HYPERLINK("https://github.com/VAMPIER000001/CompetitiveProgramming/blob/master/UVA/V-7/UVA%20707.Cpp","Sol")</f>
        <v/>
      </c>
    </row>
    <row r="91" ht="15.75" customHeight="1" s="279">
      <c r="A91" s="496" t="inlineStr">
        <is>
          <t>The Errant Physicist</t>
        </is>
      </c>
      <c r="B91" s="497">
        <f>HYPERLINK("https://uva.onlinejudge.org/index.php?option=com_onlinejudge&amp;Itemid=8&amp;page=show_problem&amp;problem=62","UVA 126")</f>
        <v/>
      </c>
      <c r="C91" s="418" t="n"/>
      <c r="D91" s="418" t="n"/>
      <c r="E91" s="418" t="n"/>
      <c r="F91" s="418" t="n"/>
      <c r="G91" s="418" t="n"/>
      <c r="H91" s="418" t="n"/>
      <c r="I91" s="404">
        <f>SUM(E91:H91)</f>
        <v/>
      </c>
      <c r="J91" s="404" t="n"/>
      <c r="K91" s="404" t="n"/>
      <c r="M91" s="474">
        <f>HYPERLINK("https://github.com/abdullaAshraf/Problem-Solving/blob/master/UVA/126.cpp","Sol")</f>
        <v/>
      </c>
    </row>
    <row r="92" ht="15.75" customHeight="1" s="279">
      <c r="A92" s="496" t="inlineStr">
        <is>
          <t>Brackets sequence</t>
        </is>
      </c>
      <c r="B92" s="497">
        <f>HYPERLINK("https://uva.onlinejudge.org/index.php?option=com_onlinejudge&amp;Itemid=8&amp;page=show_problem&amp;problem=4501","UVA 1626")</f>
        <v/>
      </c>
      <c r="C92" s="418" t="n"/>
      <c r="D92" s="418" t="n"/>
      <c r="E92" s="418" t="n"/>
      <c r="F92" s="418" t="n"/>
      <c r="G92" s="418" t="n"/>
      <c r="H92" s="418" t="n"/>
      <c r="I92" s="404">
        <f>SUM(E92:H92)</f>
        <v/>
      </c>
      <c r="J92" s="404" t="n"/>
      <c r="K92" s="404" t="n"/>
      <c r="M92" s="474">
        <f>HYPERLINK("https://github.com/abdullaAshraf/Problem-Solving/blob/master/UVA/1626.cpp","Sol")</f>
        <v/>
      </c>
    </row>
    <row r="93" ht="15.75" customHeight="1" s="279">
      <c r="A93" s="496" t="inlineStr">
        <is>
          <t>Unique World</t>
        </is>
      </c>
      <c r="B93" s="497">
        <f>HYPERLINK("https://www.youtube.com/watch?v=OWlJ8chpit0","UVA 10448")</f>
        <v/>
      </c>
      <c r="C93" s="418" t="n"/>
      <c r="D93" s="418" t="n"/>
      <c r="E93" s="418" t="n"/>
      <c r="F93" s="418" t="n"/>
      <c r="G93" s="418" t="n"/>
      <c r="H93" s="418" t="n"/>
      <c r="I93" s="404">
        <f>SUM(E93:H93)</f>
        <v/>
      </c>
      <c r="J93" s="404" t="n"/>
      <c r="K93" s="404" t="n"/>
      <c r="L93" s="295" t="n"/>
      <c r="M93" s="419">
        <f>HYPERLINK("https://www.youtube.com/watch?v=OWlJ8chpit0","Video Solution - Dr Mostafa Saad")</f>
        <v/>
      </c>
    </row>
    <row r="94" ht="15.75" customHeight="1" s="279">
      <c r="A94" s="437" t="inlineStr">
        <is>
          <t>Bad Luck Island</t>
        </is>
      </c>
      <c r="B94" s="438">
        <f>HYPERLINK("http://codeforces.com/contest/540/problem/D","CF540-D2-D")</f>
        <v/>
      </c>
      <c r="C94" s="418" t="n"/>
      <c r="D94" s="418" t="n"/>
      <c r="E94" s="418" t="n"/>
      <c r="F94" s="418" t="n"/>
      <c r="G94" s="418" t="n"/>
      <c r="H94" s="418" t="n"/>
      <c r="I94" s="404">
        <f>SUM(E94:H94)</f>
        <v/>
      </c>
      <c r="J94" s="295" t="n"/>
      <c r="K94" s="295" t="n"/>
      <c r="L94" s="295" t="n"/>
      <c r="M94" s="295" t="n"/>
    </row>
    <row r="95" ht="15.75" customHeight="1" s="279">
      <c r="A95" s="437" t="inlineStr">
        <is>
          <t>Shopping Trip</t>
        </is>
      </c>
      <c r="B95" s="437" t="inlineStr">
        <is>
          <t>UVA 11284</t>
        </is>
      </c>
      <c r="C95" s="418" t="n"/>
      <c r="D95" s="418" t="n"/>
      <c r="E95" s="418" t="n"/>
      <c r="F95" s="418" t="n"/>
      <c r="G95" s="418" t="n"/>
      <c r="H95" s="418" t="n"/>
      <c r="I95" s="404">
        <f>SUM(E95:H95)</f>
        <v/>
      </c>
      <c r="J95" s="295" t="n"/>
      <c r="K95" s="295" t="n"/>
      <c r="M95" s="474">
        <f>HYPERLINK("https://github.com/SaraElkadi/competitive-programming-/blob/master/UVA/11284.cpp","Sol")</f>
        <v/>
      </c>
    </row>
    <row r="96" ht="15.75" customHeight="1" s="279">
      <c r="A96" s="437" t="inlineStr">
        <is>
          <t>Hotel booking</t>
        </is>
      </c>
      <c r="B96" s="437" t="inlineStr">
        <is>
          <t>UVA 11635</t>
        </is>
      </c>
      <c r="C96" s="418" t="n"/>
      <c r="D96" s="418" t="n"/>
      <c r="E96" s="418" t="n"/>
      <c r="F96" s="418" t="n"/>
      <c r="G96" s="418" t="n"/>
      <c r="H96" s="418" t="n"/>
      <c r="I96" s="404">
        <f>SUM(E96:H96)</f>
        <v/>
      </c>
      <c r="J96" s="295" t="n"/>
      <c r="K96" s="295" t="n"/>
      <c r="M96" s="474">
        <f>HYPERLINK("https://github.com/BRAINOOO/CompetitiveProgramming/blob/master/UVA/V-116/UVA%2011635.Cpp","Sol")</f>
        <v/>
      </c>
    </row>
    <row r="97" ht="15.75" customHeight="1" s="279">
      <c r="A97" s="437" t="n"/>
      <c r="B97" s="438">
        <f>HYPERLINK("http://codeforces.com/contest/337/problem/D","CF337-D2-D")</f>
        <v/>
      </c>
      <c r="C97" s="418" t="n"/>
      <c r="D97" s="418" t="n"/>
      <c r="E97" s="418" t="n"/>
      <c r="F97" s="418" t="n"/>
      <c r="G97" s="418" t="n"/>
      <c r="H97" s="418" t="n"/>
      <c r="I97" s="404">
        <f>SUM(E97:H97)</f>
        <v/>
      </c>
      <c r="J97" s="295" t="n"/>
      <c r="K97" s="295" t="n"/>
      <c r="M97" s="474">
        <f>HYPERLINK("http://codeforces.com/contest/337/submission/38413425","Sol")</f>
        <v/>
      </c>
    </row>
    <row r="98" ht="15.75" customHeight="1" s="279">
      <c r="A98" s="437" t="n"/>
      <c r="B98" s="438">
        <f>HYPERLINK("https://www.hackerrank.com/challenges/ajourney","HACKR ajourney")</f>
        <v/>
      </c>
      <c r="C98" s="418" t="n"/>
      <c r="D98" s="418" t="n"/>
      <c r="E98" s="418" t="n"/>
      <c r="F98" s="418" t="n"/>
      <c r="G98" s="418" t="n"/>
      <c r="H98" s="418" t="n"/>
      <c r="I98" s="404">
        <f>SUM(E98:H98)</f>
        <v/>
      </c>
      <c r="J98" s="295" t="n"/>
      <c r="K98" s="295" t="n"/>
      <c r="M98" s="304" t="n"/>
    </row>
    <row r="99" ht="15.75" customHeight="1" s="279">
      <c r="A99" s="437" t="n"/>
      <c r="B99" s="438">
        <f>HYPERLINK("https://codeforces.com/contest/665/problem/E","CF665-D12-E")</f>
        <v/>
      </c>
      <c r="C99" s="418" t="n"/>
      <c r="D99" s="418" t="n"/>
      <c r="E99" s="418" t="n"/>
      <c r="F99" s="418" t="n"/>
      <c r="G99" s="418" t="n"/>
      <c r="H99" s="418" t="n"/>
      <c r="I99" s="404">
        <f>SUM(E99:H99)</f>
        <v/>
      </c>
      <c r="J99" s="295" t="n"/>
      <c r="K99" s="295" t="n"/>
      <c r="M99" s="304" t="n"/>
    </row>
    <row r="100" ht="15.75" customHeight="1" s="279">
      <c r="A100" s="304" t="n"/>
      <c r="B100" s="295" t="n"/>
      <c r="C100" s="418" t="n"/>
      <c r="D100" s="418" t="n"/>
      <c r="E100" s="418" t="n"/>
      <c r="F100" s="418" t="n"/>
      <c r="G100" s="418" t="n"/>
      <c r="H100" s="418" t="n"/>
      <c r="I100" s="404">
        <f>SUM(E100:H100)</f>
        <v/>
      </c>
      <c r="J100" s="404" t="n"/>
      <c r="K100" s="404" t="n"/>
      <c r="M100" s="304" t="n"/>
    </row>
    <row r="101" ht="15.75" customHeight="1" s="279">
      <c r="A101" s="304" t="inlineStr">
        <is>
          <t>Hit Ball</t>
        </is>
      </c>
      <c r="B101" s="421">
        <f>HYPERLINK("http://codeforces.com/contest/203/problem/D","CF203-D2-D")</f>
        <v/>
      </c>
      <c r="C101" s="418" t="n"/>
      <c r="D101" s="418" t="n"/>
      <c r="E101" s="418" t="n"/>
      <c r="F101" s="418" t="n"/>
      <c r="G101" s="418" t="n"/>
      <c r="H101" s="418" t="n"/>
      <c r="I101" s="404">
        <f>SUM(E101:H101)</f>
        <v/>
      </c>
      <c r="J101" s="404" t="n"/>
      <c r="K101" s="404" t="n"/>
      <c r="M101" s="304" t="n"/>
    </row>
    <row r="102" ht="15.75" customHeight="1" s="279">
      <c r="A102" s="295" t="inlineStr">
        <is>
          <t>Sereja ans Anagrams</t>
        </is>
      </c>
      <c r="B102" s="417">
        <f>HYPERLINK("http://codeforces.com/contest/368/problem/D","CF368-D2-D")</f>
        <v/>
      </c>
      <c r="C102" s="418" t="n"/>
      <c r="D102" s="418" t="n"/>
      <c r="E102" s="418" t="n"/>
      <c r="F102" s="418" t="n"/>
      <c r="G102" s="418" t="n"/>
      <c r="H102" s="418" t="n"/>
      <c r="I102" s="404">
        <f>SUM(E102:H102)</f>
        <v/>
      </c>
      <c r="J102" s="295" t="n"/>
      <c r="K102" s="295" t="n"/>
      <c r="M102" s="474">
        <f>HYPERLINK("https://github.com/MohamedNabil97/CompetitiveProgramming/blob/master/CodeForces/CF368-D2-D.cpp","Sol")</f>
        <v/>
      </c>
    </row>
    <row r="103" ht="15.75" customHeight="1" s="279">
      <c r="A103" s="295" t="inlineStr">
        <is>
          <t>Choosing Capital for Treeland</t>
        </is>
      </c>
      <c r="B103" s="417">
        <f>HYPERLINK("http://codeforces.com/contest/219/problem/D","CF219-D2-D")</f>
        <v/>
      </c>
      <c r="C103" s="418" t="n"/>
      <c r="D103" s="418" t="n"/>
      <c r="E103" s="418" t="n"/>
      <c r="F103" s="418" t="n"/>
      <c r="G103" s="418" t="n"/>
      <c r="H103" s="418" t="n"/>
      <c r="I103" s="404">
        <f>SUM(E103:H103)</f>
        <v/>
      </c>
      <c r="J103" s="295" t="n"/>
      <c r="K103" s="295" t="n"/>
      <c r="M103" s="304" t="n"/>
    </row>
    <row r="104" ht="15.75" customHeight="1" s="279">
      <c r="A104" s="295" t="inlineStr">
        <is>
          <t>Coloring Brackets</t>
        </is>
      </c>
      <c r="B104" s="417">
        <f>HYPERLINK("http://codeforces.com/contest/149/problem/D","CF149-D2-D")</f>
        <v/>
      </c>
      <c r="C104" s="418" t="n"/>
      <c r="D104" s="418" t="n"/>
      <c r="E104" s="418" t="n"/>
      <c r="F104" s="418" t="n"/>
      <c r="G104" s="418" t="n"/>
      <c r="H104" s="418" t="n"/>
      <c r="I104" s="404">
        <f>SUM(E104:H104)</f>
        <v/>
      </c>
      <c r="J104" s="295" t="n"/>
      <c r="K104" s="295" t="n"/>
      <c r="M104" s="474">
        <f>HYPERLINK("https://github.com/osamahatem/CompetitiveProgramming/blob/master/Codeforces/149D.%20Coloring%20Brackets.cpp","Sol")</f>
        <v/>
      </c>
    </row>
    <row r="105" ht="15.75" customHeight="1" s="279">
      <c r="A105" s="295" t="inlineStr">
        <is>
          <t>Cycle in Graph</t>
        </is>
      </c>
      <c r="B105" s="417">
        <f>HYPERLINK("http://codeforces.com/contest/263/problem/D","CF263-D2-D")</f>
        <v/>
      </c>
      <c r="C105" s="418" t="n"/>
      <c r="D105" s="418" t="n"/>
      <c r="E105" s="418" t="n"/>
      <c r="F105" s="418" t="n"/>
      <c r="G105" s="418" t="n"/>
      <c r="H105" s="418" t="n"/>
      <c r="I105" s="404">
        <f>SUM(E105:H105)</f>
        <v/>
      </c>
      <c r="J105" s="295" t="n"/>
      <c r="K105" s="295" t="n"/>
      <c r="L105" s="295" t="n"/>
      <c r="M105" s="295" t="n"/>
    </row>
    <row r="106" ht="23.25" customHeight="1" s="279">
      <c r="A106" s="295" t="n"/>
      <c r="B106" s="417">
        <f>HYPERLINK("https://codeforces.com/gym/101187/problem/F","CF101187-GYM-F")</f>
        <v/>
      </c>
      <c r="C106" s="418" t="n"/>
      <c r="D106" s="418" t="n"/>
      <c r="E106" s="418" t="n"/>
      <c r="F106" s="418" t="n"/>
      <c r="G106" s="418" t="n"/>
      <c r="H106" s="418" t="n"/>
      <c r="I106" s="404">
        <f>SUM(E106:H106)</f>
        <v/>
      </c>
      <c r="J106" s="295" t="n"/>
      <c r="K106" s="295" t="n"/>
      <c r="L106" s="295" t="n"/>
      <c r="M106" s="419">
        <f>HYPERLINK("https://github.com/SpeedOfMagic/CompetitiveProgramming/blob/master/CodeforcesGym/CF101187-GYM-F.cpp","Sol")</f>
        <v/>
      </c>
    </row>
    <row r="107" ht="15.75" customHeight="1" s="279">
      <c r="A107" s="295" t="n"/>
      <c r="B107" s="295" t="inlineStr">
        <is>
          <t>SRM319-D1-500</t>
        </is>
      </c>
      <c r="C107" s="418" t="n"/>
      <c r="D107" s="418" t="n"/>
      <c r="E107" s="418" t="n"/>
      <c r="F107" s="418" t="n"/>
      <c r="G107" s="418" t="n"/>
      <c r="H107" s="418" t="n"/>
      <c r="I107" s="404">
        <f>SUM(E107:H107)</f>
        <v/>
      </c>
      <c r="J107" s="295" t="n"/>
      <c r="K107" s="295" t="n"/>
      <c r="L107" s="295" t="n"/>
      <c r="M107" s="295" t="n"/>
    </row>
    <row r="108" ht="23.25" customHeight="1" s="279">
      <c r="A108" s="295" t="n"/>
      <c r="B108" s="417">
        <f>HYPERLINK("https://beta.atcoder.jp/contests/arc092/tasks/arc092_b","Atcoder092-ARC-B")</f>
        <v/>
      </c>
      <c r="C108" s="418" t="n"/>
      <c r="D108" s="418" t="n"/>
      <c r="E108" s="418" t="n"/>
      <c r="F108" s="418" t="n"/>
      <c r="G108" s="418" t="n"/>
      <c r="H108" s="418" t="n"/>
      <c r="I108" s="404">
        <f>SUM(E108:H108)</f>
        <v/>
      </c>
      <c r="J108" s="295" t="n"/>
      <c r="K108" s="295" t="n"/>
      <c r="L108" s="295" t="n"/>
      <c r="M108" s="295" t="n"/>
    </row>
    <row r="109" ht="23.25" customHeight="1" s="279">
      <c r="A109" s="295" t="n"/>
      <c r="B109" s="417">
        <f>HYPERLINK("https://agc002.contest.atcoder.jp/tasks/agc002_c","AtCoder002-AGC-C")</f>
        <v/>
      </c>
      <c r="C109" s="418" t="n"/>
      <c r="D109" s="418" t="n"/>
      <c r="E109" s="418" t="n"/>
      <c r="F109" s="418" t="n"/>
      <c r="G109" s="418" t="n"/>
      <c r="H109" s="418" t="n"/>
      <c r="I109" s="404">
        <f>SUM(E109:H109)</f>
        <v/>
      </c>
      <c r="J109" s="295" t="n"/>
      <c r="K109" s="295" t="n"/>
      <c r="L109" s="295" t="n"/>
      <c r="M109" s="295" t="n"/>
    </row>
    <row r="110" ht="15.75" customHeight="1" s="279">
      <c r="A110" s="482" t="inlineStr">
        <is>
          <t>Fixing Typos</t>
        </is>
      </c>
      <c r="B110" s="318">
        <f>HYPERLINK("http://codeforces.com/contest/363/problem/C","CF363-D2-C")</f>
        <v/>
      </c>
      <c r="C110" s="418" t="n"/>
      <c r="D110" s="418" t="n"/>
      <c r="E110" s="418" t="n"/>
      <c r="F110" s="418" t="n"/>
      <c r="G110" s="418" t="n"/>
      <c r="H110" s="418" t="n"/>
      <c r="I110" s="404">
        <f>SUM(E110:H110)</f>
        <v/>
      </c>
      <c r="J110" s="295" t="n"/>
      <c r="K110" s="295" t="n"/>
      <c r="L110" s="295" t="n"/>
      <c r="M110" s="295" t="n"/>
    </row>
    <row r="111" ht="15.75" customHeight="1" s="279">
      <c r="A111" s="482" t="inlineStr">
        <is>
          <t>Cutting Figure</t>
        </is>
      </c>
      <c r="B111" s="318">
        <f>HYPERLINK("http://codeforces.com/contest/194/problem/C","CF194-D2-C")</f>
        <v/>
      </c>
      <c r="C111" s="418" t="n"/>
      <c r="D111" s="418" t="n"/>
      <c r="E111" s="418" t="n"/>
      <c r="F111" s="418" t="n"/>
      <c r="G111" s="418" t="n"/>
      <c r="H111" s="418" t="n"/>
      <c r="I111" s="404">
        <f>SUM(E111:H111)</f>
        <v/>
      </c>
      <c r="J111" s="295" t="n"/>
      <c r="K111" s="295" t="n"/>
      <c r="L111" s="295" t="n"/>
      <c r="M111" s="295" t="n"/>
    </row>
    <row r="112" ht="15.75" customHeight="1" s="279">
      <c r="A112" s="482" t="inlineStr">
        <is>
          <t>Escape from Stones</t>
        </is>
      </c>
      <c r="B112" s="318">
        <f>HYPERLINK("http://codeforces.com/contest/265/problem/C","CF265-D2-C")</f>
        <v/>
      </c>
      <c r="C112" s="418" t="n"/>
      <c r="D112" s="418" t="n"/>
      <c r="E112" s="418" t="n"/>
      <c r="F112" s="418" t="n"/>
      <c r="G112" s="418" t="n"/>
      <c r="H112" s="418" t="n"/>
      <c r="I112" s="404">
        <f>SUM(E112:H112)</f>
        <v/>
      </c>
      <c r="J112" s="295" t="n"/>
      <c r="K112" s="295" t="n"/>
      <c r="L112" s="295" t="n"/>
      <c r="M112" s="295" t="n"/>
    </row>
    <row r="113" ht="15.75" customHeight="1" s="279">
      <c r="A113" s="304" t="n"/>
      <c r="B113" s="295" t="n"/>
      <c r="C113" s="418" t="n"/>
      <c r="D113" s="418" t="n"/>
      <c r="E113" s="418" t="n"/>
      <c r="F113" s="418" t="n"/>
      <c r="G113" s="418" t="n"/>
      <c r="H113" s="418" t="n"/>
      <c r="I113" s="404">
        <f>SUM(E113:H113)</f>
        <v/>
      </c>
      <c r="J113" s="404" t="n"/>
      <c r="K113" s="404" t="n"/>
      <c r="L113" s="295" t="n"/>
      <c r="M113" s="499">
        <f>HYPERLINK("https://www.youtube.com/watch?v=OnysyxVPPD0","Geometry - Simple and Convex Polygons")</f>
        <v/>
      </c>
    </row>
    <row r="114" ht="15.75" customHeight="1" s="279">
      <c r="A114" s="304" t="n"/>
      <c r="B114" s="295" t="n"/>
      <c r="C114" s="418" t="n"/>
      <c r="D114" s="418" t="n"/>
      <c r="E114" s="418" t="n"/>
      <c r="F114" s="418" t="n"/>
      <c r="G114" s="418" t="n"/>
      <c r="H114" s="418" t="n"/>
      <c r="I114" s="404">
        <f>SUM(E114:H114)</f>
        <v/>
      </c>
      <c r="J114" s="404" t="n"/>
      <c r="K114" s="404" t="n"/>
      <c r="L114" s="295" t="n"/>
      <c r="M114" s="499">
        <f>HYPERLINK("w.youtube.com/watch?v=Cce_O7EKv2Y","Geometry - Polygon Area - Centroid - Cut")</f>
        <v/>
      </c>
    </row>
    <row r="115" ht="23.25" customHeight="1" s="279">
      <c r="A115" s="491">
        <f>HYPERLINK("https://community.topcoder.com/stat?c=problem_statement&amp;pm=5923&amp;rd=8075","BestTriangulation")</f>
        <v/>
      </c>
      <c r="B115" s="498" t="inlineStr">
        <is>
          <t>SRM278-D2-500</t>
        </is>
      </c>
      <c r="C115" s="418" t="n"/>
      <c r="D115" s="418" t="n"/>
      <c r="E115" s="418" t="n"/>
      <c r="F115" s="418" t="n"/>
      <c r="G115" s="418" t="n"/>
      <c r="H115" s="418" t="n"/>
      <c r="I115" s="404">
        <f>SUM(E115:H115)</f>
        <v/>
      </c>
      <c r="J115" s="404" t="n"/>
      <c r="K115" s="404" t="n"/>
      <c r="L115" s="295" t="n"/>
      <c r="M115" s="295" t="n"/>
    </row>
    <row r="116" ht="15.75" customHeight="1" s="279">
      <c r="A116" s="432" t="inlineStr">
        <is>
          <t>Trees on My Island</t>
        </is>
      </c>
      <c r="B116" s="491">
        <f>HYPERLINK("https://uva.onlinejudge.org/index.php?option=onlinejudge&amp;page=show_problem&amp;problem=1029","UVA 10088")</f>
        <v/>
      </c>
      <c r="C116" s="418" t="n"/>
      <c r="D116" s="418" t="n"/>
      <c r="E116" s="418" t="n"/>
      <c r="F116" s="418" t="n"/>
      <c r="G116" s="418" t="n"/>
      <c r="H116" s="418" t="n"/>
      <c r="I116" s="404">
        <f>SUM(E116:H116)</f>
        <v/>
      </c>
      <c r="J116" s="404" t="n"/>
      <c r="K116" s="404" t="n"/>
      <c r="M116" s="295" t="n"/>
    </row>
    <row r="117" ht="15.75" customHeight="1" s="279">
      <c r="A117" s="432" t="inlineStr">
        <is>
          <t>Packing polygons</t>
        </is>
      </c>
      <c r="B117" s="491">
        <f>HYPERLINK("https://uva.onlinejudge.org/index.php?option=onlinejudge&amp;page=show_problem&amp;problem=946","UVA 10005")</f>
        <v/>
      </c>
      <c r="C117" s="418" t="n"/>
      <c r="D117" s="418" t="n"/>
      <c r="E117" s="418" t="n"/>
      <c r="F117" s="418" t="n"/>
      <c r="G117" s="418" t="n"/>
      <c r="H117" s="418" t="n"/>
      <c r="I117" s="404">
        <f>SUM(E117:H117)</f>
        <v/>
      </c>
      <c r="J117" s="404" t="n"/>
      <c r="K117" s="404" t="n"/>
      <c r="M117" s="474">
        <f>HYPERLINK("https://github.com/mostafa-saad/MyCompetitiveProgramming/blob/master/UVA/UVA_10005.txt","Sol")</f>
        <v/>
      </c>
    </row>
    <row r="118" ht="15.75" customHeight="1" s="279">
      <c r="A118" s="432" t="n"/>
      <c r="B118" s="490" t="inlineStr">
        <is>
          <t>LIVEARCHIVE 2831</t>
        </is>
      </c>
      <c r="C118" s="418" t="n"/>
      <c r="D118" s="418" t="n"/>
      <c r="E118" s="418" t="n"/>
      <c r="F118" s="418" t="n"/>
      <c r="G118" s="418" t="n"/>
      <c r="H118" s="418" t="n"/>
      <c r="I118" s="404">
        <f>SUM(E118:H118)</f>
        <v/>
      </c>
      <c r="J118" s="404" t="n"/>
      <c r="K118" s="404" t="n"/>
      <c r="M118" s="474">
        <f>HYPERLINK("https://github.com/MeGaCrazy/CompetitiveProgramming/blob/c9f4ed6571a135dbc26cfeeb099384a8fec2ff92/LiveArchive/LIVEARCHIVE_2831.cpp","Use polygon cut")</f>
        <v/>
      </c>
    </row>
    <row r="119" ht="15.75" customHeight="1" s="279">
      <c r="A119" s="432" t="inlineStr">
        <is>
          <t>Video Surveillance</t>
        </is>
      </c>
      <c r="B119" s="491">
        <f>HYPERLINK("https://uva.onlinejudge.org/index.php?option=com_onlinejudge&amp;Itemid=8&amp;page=show_problem&amp;problem=529","UVA 588")</f>
        <v/>
      </c>
      <c r="C119" s="418" t="n"/>
      <c r="D119" s="418" t="n"/>
      <c r="E119" s="418" t="n"/>
      <c r="F119" s="418" t="n"/>
      <c r="G119" s="418" t="n"/>
      <c r="H119" s="418" t="n"/>
      <c r="I119" s="404">
        <f>SUM(E119:H119)</f>
        <v/>
      </c>
      <c r="J119" s="404" t="n"/>
      <c r="K119" s="404" t="n"/>
      <c r="M119" s="474">
        <f>HYPERLINK("https://github.com/mostafa-saad/MyCompetitiveProgramming/blob/master/UVA/588.cpp","Use polygon cut")</f>
        <v/>
      </c>
    </row>
    <row r="120" ht="15.75" customHeight="1" s="279">
      <c r="A120" s="437" t="n"/>
      <c r="B120" s="437" t="inlineStr">
        <is>
          <t>SRM514-D1-500</t>
        </is>
      </c>
      <c r="C120" s="418" t="n"/>
      <c r="D120" s="418" t="n"/>
      <c r="E120" s="418" t="n"/>
      <c r="F120" s="418" t="n"/>
      <c r="G120" s="418" t="n"/>
      <c r="H120" s="418" t="n"/>
      <c r="I120" s="404">
        <f>SUM(E120:H120)</f>
        <v/>
      </c>
      <c r="J120" s="295" t="n"/>
      <c r="K120" s="295" t="n"/>
      <c r="L120" s="295" t="n"/>
      <c r="M120" s="304" t="n"/>
    </row>
    <row r="121" ht="15.75" customHeight="1" s="279">
      <c r="A121" s="437" t="n"/>
      <c r="B121" s="437" t="inlineStr">
        <is>
          <t>SRM473-D1-500</t>
        </is>
      </c>
      <c r="C121" s="418" t="n"/>
      <c r="D121" s="418" t="n"/>
      <c r="E121" s="418" t="n"/>
      <c r="F121" s="418" t="n"/>
      <c r="G121" s="418" t="n"/>
      <c r="H121" s="418" t="n"/>
      <c r="I121" s="404">
        <f>SUM(E121:H121)</f>
        <v/>
      </c>
      <c r="J121" s="295" t="n"/>
      <c r="K121" s="295" t="n"/>
      <c r="L121" s="295" t="n"/>
      <c r="M121" s="304" t="n"/>
    </row>
    <row r="122" ht="15.75" customHeight="1" s="279">
      <c r="A122" s="437" t="n"/>
      <c r="B122" s="437" t="inlineStr">
        <is>
          <t>SRM555-D2-1000</t>
        </is>
      </c>
      <c r="C122" s="418" t="n"/>
      <c r="D122" s="418" t="n"/>
      <c r="E122" s="418" t="n"/>
      <c r="F122" s="418" t="n"/>
      <c r="G122" s="418" t="n"/>
      <c r="H122" s="418" t="n"/>
      <c r="I122" s="404">
        <f>SUM(E122:H122)</f>
        <v/>
      </c>
      <c r="J122" s="295" t="n"/>
      <c r="K122" s="295" t="n"/>
      <c r="L122" s="295" t="n"/>
      <c r="M122" s="304" t="n"/>
    </row>
    <row r="123" ht="15.75" customHeight="1" s="279">
      <c r="A123" s="437" t="n"/>
      <c r="B123" s="437" t="inlineStr">
        <is>
          <t>UVA 557</t>
        </is>
      </c>
      <c r="C123" s="418" t="n"/>
      <c r="D123" s="418" t="n"/>
      <c r="E123" s="418" t="n"/>
      <c r="F123" s="418" t="n"/>
      <c r="G123" s="418" t="n"/>
      <c r="H123" s="418" t="n"/>
      <c r="I123" s="404">
        <f>SUM(E123:H123)</f>
        <v/>
      </c>
      <c r="J123" s="295" t="n"/>
      <c r="K123" s="295" t="n"/>
      <c r="L123" s="295" t="n"/>
      <c r="M123" s="474">
        <f>HYPERLINK("https://github.com/aboodJAD/CompetitiveProgramming/blob/master/UVA/UVA%20557.cpp","Sol")</f>
        <v/>
      </c>
    </row>
    <row r="124" ht="15.75" customHeight="1" s="279">
      <c r="A124" s="437" t="n"/>
      <c r="B124" s="437" t="inlineStr">
        <is>
          <t>SRM285-D1-500</t>
        </is>
      </c>
      <c r="C124" s="418" t="n"/>
      <c r="D124" s="418" t="n"/>
      <c r="E124" s="418" t="n"/>
      <c r="F124" s="418" t="n"/>
      <c r="G124" s="418" t="n"/>
      <c r="H124" s="418" t="n"/>
      <c r="I124" s="404">
        <f>SUM(E124:H124)</f>
        <v/>
      </c>
      <c r="J124" s="295" t="n"/>
      <c r="K124" s="295" t="n"/>
      <c r="L124" s="295" t="n"/>
      <c r="M124" s="304" t="n"/>
    </row>
    <row r="125" ht="15.75" customHeight="1" s="279">
      <c r="A125" s="437" t="inlineStr">
        <is>
          <t>Xrange's Pancakes</t>
        </is>
      </c>
      <c r="B125" s="438">
        <f>HYPERLINK("https://www.hackerrank.com/challenges/xrange-and-pizza","HACKR xrange-and-pizza")</f>
        <v/>
      </c>
      <c r="C125" s="418" t="n"/>
      <c r="D125" s="418" t="n"/>
      <c r="E125" s="418" t="n"/>
      <c r="F125" s="418" t="n"/>
      <c r="G125" s="418" t="n"/>
      <c r="H125" s="418" t="n"/>
      <c r="I125" s="404">
        <f>SUM(E125:H125)</f>
        <v/>
      </c>
      <c r="J125" s="404" t="n"/>
      <c r="K125" s="404" t="n"/>
      <c r="M125" s="474">
        <f>HYPERLINK("https://github.com/AbdelrahmanRamadan/competitive-programming/blob/master/HackerRank/xrange-and-pizza.cpp","Sol")</f>
        <v/>
      </c>
    </row>
    <row r="126" ht="15.75" customHeight="1" s="279">
      <c r="A126" s="437" t="n"/>
      <c r="B126" s="437" t="inlineStr">
        <is>
          <t>SRM525-D1-500</t>
        </is>
      </c>
      <c r="C126" s="418" t="n"/>
      <c r="D126" s="418" t="n"/>
      <c r="E126" s="418" t="n"/>
      <c r="F126" s="418" t="n"/>
      <c r="G126" s="418" t="n"/>
      <c r="H126" s="418" t="n"/>
      <c r="I126" s="404">
        <f>SUM(E126:H126)</f>
        <v/>
      </c>
      <c r="J126" s="404" t="n"/>
      <c r="K126" s="404" t="n"/>
      <c r="M126" s="304" t="n"/>
    </row>
    <row r="127" ht="15.75" customHeight="1" s="279">
      <c r="A127" s="437" t="n"/>
      <c r="B127" s="437" t="inlineStr">
        <is>
          <t>UVA 11648</t>
        </is>
      </c>
      <c r="C127" s="418" t="n"/>
      <c r="D127" s="418" t="n"/>
      <c r="E127" s="418" t="n"/>
      <c r="F127" s="418" t="n"/>
      <c r="G127" s="418" t="n"/>
      <c r="H127" s="418" t="n"/>
      <c r="I127" s="404">
        <f>SUM(E127:H127)</f>
        <v/>
      </c>
      <c r="J127" s="404" t="n"/>
      <c r="K127" s="404" t="n"/>
      <c r="M127" s="474">
        <f>HYPERLINK("https://github.com/mostafa-saad/MyCompetitiveProgramming/blob/master/UVA/UVA_11648.txt", "Sol")</f>
        <v/>
      </c>
    </row>
    <row r="128" ht="15.75" customHeight="1" s="279">
      <c r="A128" s="437" t="n"/>
      <c r="B128" s="438">
        <f>HYPERLINK("http://codeforces.com/gym/101864/problem/A","CF101864-GYM-A")</f>
        <v/>
      </c>
      <c r="C128" s="418" t="n"/>
      <c r="D128" s="418" t="n"/>
      <c r="E128" s="418" t="n"/>
      <c r="F128" s="418" t="n"/>
      <c r="G128" s="418" t="n"/>
      <c r="H128" s="418" t="n"/>
      <c r="I128" s="404">
        <f>SUM(E128:H128)</f>
        <v/>
      </c>
      <c r="J128" s="404" t="n"/>
      <c r="K128" s="404" t="n"/>
      <c r="M128" s="474">
        <f>HYPERLINK("https://github.com/SpeedOfMagic/CompetitiveProgramming/blob/master/CodeforcesGym/CF101864-GYM-A.cpp","Sol")</f>
        <v/>
      </c>
    </row>
    <row r="129" ht="15.75" customHeight="1" s="279">
      <c r="A129" s="437" t="n"/>
      <c r="B129" s="438">
        <f>HYPERLINK("http://codeforces.com/gym/101864/problem/L","CF101864-GYM-L")</f>
        <v/>
      </c>
      <c r="C129" s="418" t="n"/>
      <c r="D129" s="418" t="n"/>
      <c r="E129" s="418" t="n"/>
      <c r="F129" s="418" t="n"/>
      <c r="G129" s="418" t="n"/>
      <c r="H129" s="418" t="n"/>
      <c r="I129" s="404">
        <f>SUM(E129:H129)</f>
        <v/>
      </c>
      <c r="J129" s="404" t="n"/>
      <c r="K129" s="404" t="n"/>
      <c r="M129" s="474">
        <f>HYPERLINK("https://github.com/SpeedOfMagic/CompetitiveProgramming/blob/master/CodeforcesGym/CF101864-GYM-L.cpp","Sol")</f>
        <v/>
      </c>
    </row>
    <row r="130" ht="15.75" customHeight="1" s="279">
      <c r="A130" s="437" t="n"/>
      <c r="B130" s="438">
        <f>HYPERLINK("http://codeforces.com/contest/28/problem/C","CF28-D12-C")</f>
        <v/>
      </c>
      <c r="C130" s="418" t="n"/>
      <c r="D130" s="418" t="n"/>
      <c r="E130" s="418" t="n"/>
      <c r="F130" s="418" t="n"/>
      <c r="G130" s="418" t="n"/>
      <c r="H130" s="418" t="n"/>
      <c r="I130" s="404">
        <f>SUM(E130:H130)</f>
        <v/>
      </c>
      <c r="J130" s="404" t="n"/>
      <c r="K130" s="404" t="n"/>
      <c r="M130" s="304" t="n"/>
    </row>
    <row r="131" ht="15.75" customHeight="1" s="279">
      <c r="A131" s="418" t="n"/>
      <c r="B131" s="295" t="n"/>
      <c r="C131" s="418" t="n"/>
      <c r="D131" s="418" t="n"/>
      <c r="E131" s="418" t="n"/>
      <c r="F131" s="418" t="n"/>
      <c r="G131" s="418" t="n"/>
      <c r="H131" s="418" t="n"/>
      <c r="I131" s="404">
        <f>SUM(E131:H131)</f>
        <v/>
      </c>
      <c r="J131" s="404" t="n"/>
      <c r="K131" s="404" t="n"/>
      <c r="L131" s="295" t="n"/>
      <c r="M131" s="305">
        <f>HYPERLINK("https://www.youtube.com/watch?v=I5A6OYH1yuM","Geometry - Point in polygon")</f>
        <v/>
      </c>
    </row>
    <row r="132" ht="15.75" customHeight="1" s="279">
      <c r="A132" s="432" t="n"/>
      <c r="B132" s="432" t="inlineStr">
        <is>
          <t>UVA 881</t>
        </is>
      </c>
      <c r="C132" s="418" t="n"/>
      <c r="D132" s="418" t="n"/>
      <c r="E132" s="418" t="n"/>
      <c r="F132" s="418" t="n"/>
      <c r="G132" s="418" t="n"/>
      <c r="H132" s="418" t="n"/>
      <c r="I132" s="404">
        <f>SUM(E132:H132)</f>
        <v/>
      </c>
      <c r="J132" s="404" t="n"/>
      <c r="K132" s="404" t="n"/>
      <c r="M132" s="474">
        <f>HYPERLINK("https://github.com/mostafa-saad/MyCompetitiveProgramming/blob/master/UVA/UVA_881.txt","Sol")</f>
        <v/>
      </c>
    </row>
    <row r="133" ht="15.75" customHeight="1" s="279">
      <c r="A133" s="432" t="n"/>
      <c r="B133" s="432" t="inlineStr">
        <is>
          <t>UVA 11665</t>
        </is>
      </c>
      <c r="C133" s="418" t="n"/>
      <c r="D133" s="418" t="n"/>
      <c r="E133" s="418" t="n"/>
      <c r="F133" s="418" t="n"/>
      <c r="G133" s="418" t="n"/>
      <c r="H133" s="418" t="n"/>
      <c r="I133" s="404">
        <f>SUM(E133:H133)</f>
        <v/>
      </c>
      <c r="J133" s="404" t="n"/>
      <c r="K133" s="404" t="n"/>
      <c r="M133" s="474">
        <f>HYPERLINK("https://github.com/AbdelrahmanRamadan/competitive-programming/blob/master/UVA/11665%20-%20Chinese%20Ink.cpp","Sol")</f>
        <v/>
      </c>
    </row>
    <row r="134" ht="15.75" customHeight="1" s="279">
      <c r="A134" s="432" t="n"/>
      <c r="B134" s="432" t="inlineStr">
        <is>
          <t>TIMUS 1599</t>
        </is>
      </c>
      <c r="C134" s="418" t="n"/>
      <c r="D134" s="418" t="n"/>
      <c r="E134" s="418" t="n"/>
      <c r="F134" s="418" t="n"/>
      <c r="G134" s="418" t="n"/>
      <c r="H134" s="418" t="n"/>
      <c r="I134" s="404">
        <f>SUM(E134:H134)</f>
        <v/>
      </c>
      <c r="J134" s="404" t="n"/>
      <c r="K134" s="404" t="n"/>
      <c r="M134" s="474">
        <f>HYPERLINK("https://github.com/AbdelrahmanRamadan/competitive-programming/blob/master/Timus/1599-Winding-Number.cpp","Sol")</f>
        <v/>
      </c>
    </row>
    <row r="135" ht="15.75" customHeight="1" s="279">
      <c r="A135" s="432" t="inlineStr">
        <is>
          <t>Polygons</t>
        </is>
      </c>
      <c r="B135" s="491">
        <f>HYPERLINK("https://uva.onlinejudge.org/index.php?option=onlinejudge&amp;page=show_problem&amp;problem=73","UVA 137")</f>
        <v/>
      </c>
      <c r="C135" s="418" t="n"/>
      <c r="D135" s="418" t="n"/>
      <c r="E135" s="418" t="n"/>
      <c r="F135" s="418" t="n"/>
      <c r="G135" s="418" t="n"/>
      <c r="H135" s="418" t="n"/>
      <c r="I135" s="404">
        <f>SUM(E135:H135)</f>
        <v/>
      </c>
      <c r="J135" s="404" t="n"/>
      <c r="K135" s="404" t="n"/>
      <c r="M135" s="474">
        <f>HYPERLINK("https://github.com/mostafa-saad/MyCompetitiveProgramming/blob/master/UVA/UVA_137.txt","Sol")</f>
        <v/>
      </c>
    </row>
    <row r="136" ht="15.75" customHeight="1" s="279">
      <c r="A136" s="295" t="n"/>
      <c r="B136" s="295" t="n"/>
      <c r="C136" s="418" t="n"/>
      <c r="D136" s="418" t="n"/>
      <c r="E136" s="418" t="n"/>
      <c r="F136" s="418" t="n"/>
      <c r="G136" s="418" t="n"/>
      <c r="H136" s="418" t="n"/>
      <c r="I136" s="404">
        <f>SUM(E136:H136)</f>
        <v/>
      </c>
      <c r="J136" s="404" t="n"/>
      <c r="K136" s="404" t="n"/>
      <c r="L136" s="295" t="n"/>
      <c r="M136" s="305">
        <f>HYPERLINK("https://www.youtube.com/watch?v=QuOiEwefssM&amp;t=2s&amp;list=PLPt2dINI2MIb4OXlJ_EEwIDV9WVUpRQ5K&amp;index=16","Graph Theory - Maximum Flow (2 vid)")</f>
        <v/>
      </c>
    </row>
    <row r="137" ht="15.75" customHeight="1" s="279">
      <c r="A137" s="432" t="inlineStr">
        <is>
          <t>Potholers</t>
        </is>
      </c>
      <c r="B137" s="316">
        <f>HYPERLINK("http://www.spoj.com/problems/POTHOLE/","SPOJ POTHOLE")</f>
        <v/>
      </c>
      <c r="C137" s="418" t="n"/>
      <c r="D137" s="418" t="n"/>
      <c r="E137" s="418" t="n"/>
      <c r="F137" s="418" t="n"/>
      <c r="G137" s="418" t="n"/>
      <c r="H137" s="418" t="n"/>
      <c r="I137" s="404">
        <f>SUM(E137:H137)</f>
        <v/>
      </c>
      <c r="J137" s="404" t="n"/>
      <c r="K137" s="404" t="n"/>
      <c r="L137" s="295" t="n"/>
      <c r="M137" s="474">
        <f>HYPERLINK("https://github.com/BRAINOOOO/CompetitiveProgramming/blob/682cdb2f527d2ab262a9f616687b53a158b281a4/Spoj/SPOJ%20POTHOLE.Cpp","Sol")</f>
        <v/>
      </c>
    </row>
    <row r="138" ht="15.75" customHeight="1" s="279">
      <c r="A138" s="432" t="inlineStr">
        <is>
          <t>Power Transmission</t>
        </is>
      </c>
      <c r="B138" s="316">
        <f>HYPERLINK("https://uva.onlinejudge.org/index.php?option=onlinejudge&amp;page=show_problem&amp;problem=1271","UVA 10330")</f>
        <v/>
      </c>
      <c r="C138" s="418" t="n"/>
      <c r="D138" s="418" t="n"/>
      <c r="E138" s="418" t="n"/>
      <c r="F138" s="418" t="n"/>
      <c r="G138" s="418" t="n"/>
      <c r="H138" s="418" t="n"/>
      <c r="I138" s="404">
        <f>SUM(E138:H138)</f>
        <v/>
      </c>
      <c r="J138" s="404" t="n"/>
      <c r="K138" s="404" t="n"/>
      <c r="L138" s="295" t="n"/>
      <c r="M138" s="474">
        <f>HYPERLINK("https://github.com/ilyesG/Competitive-Programming/blob/master/UVA/UVA%2010330.cpp","Sol")</f>
        <v/>
      </c>
    </row>
    <row r="139" ht="15.75" customHeight="1" s="279">
      <c r="A139" s="432" t="inlineStr">
        <is>
          <t>Gopher II</t>
        </is>
      </c>
      <c r="B139" s="316">
        <f>HYPERLINK("https://uva.onlinejudge.org/index.php?option=com_onlinejudge&amp;Itemid=8&amp;page=show_problem&amp;problem=1021","UVA 10080")</f>
        <v/>
      </c>
      <c r="C139" s="418" t="n"/>
      <c r="D139" s="418" t="n"/>
      <c r="E139" s="418" t="n"/>
      <c r="F139" s="418" t="n"/>
      <c r="G139" s="418" t="n"/>
      <c r="H139" s="418" t="n"/>
      <c r="I139" s="404">
        <f>SUM(E139:H139)</f>
        <v/>
      </c>
      <c r="J139" s="404" t="n"/>
      <c r="K139" s="404" t="n"/>
      <c r="L139" s="295" t="n"/>
      <c r="M139" s="474">
        <f>HYPERLINK("https://github.com/ilyesG/Competitive-Programming/blob/master/UVA/UVA%2010080.cpp","Sol")</f>
        <v/>
      </c>
    </row>
    <row r="140" ht="15.75" customHeight="1" s="279">
      <c r="A140" s="432" t="inlineStr">
        <is>
          <t>Software Allocation</t>
        </is>
      </c>
      <c r="B140" s="316">
        <f>HYPERLINK("https://uva.onlinejudge.org/index.php?option=com_onlinejudge&amp;Itemid=8&amp;page=show_problem&amp;problem=195","UVA 259")</f>
        <v/>
      </c>
      <c r="C140" s="418" t="n"/>
      <c r="D140" s="418" t="n"/>
      <c r="E140" s="418" t="n"/>
      <c r="F140" s="418" t="n"/>
      <c r="G140" s="418" t="n"/>
      <c r="H140" s="418" t="n"/>
      <c r="I140" s="404">
        <f>SUM(E140:H140)</f>
        <v/>
      </c>
      <c r="J140" s="404" t="n"/>
      <c r="K140" s="404" t="n"/>
      <c r="L140" s="295" t="n"/>
      <c r="M140" s="474">
        <f>HYPERLINK("https://github.com/mostafa-saad/MyCompetitiveProgramming/blob/master/UVA/UVA_259.txt","Sol")</f>
        <v/>
      </c>
    </row>
    <row r="141" ht="15.75" customHeight="1" s="279">
      <c r="A141" s="432" t="n"/>
      <c r="B141" s="316">
        <f>HYPERLINK("https://uva.onlinejudge.org/index.php?option=onlinejudge&amp;page=show_problem&amp;problem=1290","UVA 10349")</f>
        <v/>
      </c>
      <c r="C141" s="418" t="n"/>
      <c r="D141" s="418" t="n"/>
      <c r="E141" s="418" t="n"/>
      <c r="F141" s="418" t="n"/>
      <c r="G141" s="418" t="n"/>
      <c r="H141" s="418" t="n"/>
      <c r="I141" s="404">
        <f>SUM(E141:H141)</f>
        <v/>
      </c>
      <c r="J141" s="404" t="n"/>
      <c r="K141" s="404" t="n"/>
      <c r="L141" s="295" t="n"/>
      <c r="M141" s="474">
        <f>HYPERLINK("https://github.com/mostafa-saad/MyCompetitiveProgramming/blob/master/UVA/UVA_10349.txt","Sol - 2 ways")</f>
        <v/>
      </c>
    </row>
    <row r="142" ht="15.75" customHeight="1" s="279">
      <c r="A142" s="432" t="n"/>
      <c r="B142" s="432" t="inlineStr">
        <is>
          <t>UVA 12168</t>
        </is>
      </c>
      <c r="C142" s="418" t="n"/>
      <c r="D142" s="418" t="n"/>
      <c r="E142" s="418" t="n"/>
      <c r="F142" s="418" t="n"/>
      <c r="G142" s="418" t="n"/>
      <c r="H142" s="418" t="n"/>
      <c r="I142" s="404">
        <f>SUM(E142:H142)</f>
        <v/>
      </c>
      <c r="J142" s="404" t="n"/>
      <c r="K142" s="404" t="n"/>
      <c r="L142" s="295" t="n"/>
      <c r="M142" s="474">
        <f>HYPERLINK("https://github.com/BRAINOOOO/CompetitiveProgramming/blob/master/UVA/V-121/UVA%2012168.Cpp","Sol")</f>
        <v/>
      </c>
    </row>
    <row r="143" ht="15.75" customHeight="1" s="279">
      <c r="A143" s="432" t="inlineStr">
        <is>
          <t>A Plug for UNIX</t>
        </is>
      </c>
      <c r="B143" s="316">
        <f>HYPERLINK("https://uva.onlinejudge.org/index.php?option=onlinejudge&amp;page=show_problem&amp;problem=694","UVA 753")</f>
        <v/>
      </c>
      <c r="C143" s="418" t="n"/>
      <c r="D143" s="418" t="n"/>
      <c r="E143" s="418" t="n"/>
      <c r="F143" s="418" t="n"/>
      <c r="G143" s="418" t="n"/>
      <c r="H143" s="418" t="n"/>
      <c r="I143" s="404">
        <f>SUM(E143:H143)</f>
        <v/>
      </c>
      <c r="J143" s="404" t="n"/>
      <c r="K143" s="404" t="n"/>
      <c r="L143" s="295" t="n"/>
      <c r="M143" s="474">
        <f>HYPERLINK("https://github.com/BRAINOOOO/CompetitiveProgramming/blob/master/UVA/V-7/UVA%20753.Cpp","Sol")</f>
        <v/>
      </c>
    </row>
    <row r="144" ht="15.75" customHeight="1" s="279">
      <c r="A144" s="432" t="n"/>
      <c r="B144" s="316">
        <f>HYPERLINK("https://uva.onlinejudge.org/index.php?option=onlinejudge&amp;page=show_problem&amp;problem=1290","UVA 10349")</f>
        <v/>
      </c>
      <c r="C144" s="418" t="n"/>
      <c r="D144" s="418" t="n"/>
      <c r="E144" s="418" t="n"/>
      <c r="F144" s="418" t="n"/>
      <c r="G144" s="418" t="n"/>
      <c r="H144" s="418" t="n"/>
      <c r="I144" s="404">
        <f>SUM(E144:H144)</f>
        <v/>
      </c>
      <c r="J144" s="404" t="n"/>
      <c r="K144" s="404" t="n"/>
      <c r="L144" s="295" t="n"/>
      <c r="M144" s="474">
        <f>HYPERLINK("https://github.com/mostafa-saad/MyCompetitiveProgramming/blob/master/UVA/UVA_10349.txt","Sol - 2 ways")</f>
        <v/>
      </c>
    </row>
    <row r="145" ht="15.75" customHeight="1" s="279">
      <c r="A145" s="432" t="inlineStr">
        <is>
          <t>Intergalactic Map</t>
        </is>
      </c>
      <c r="B145" s="316">
        <f>HYPERLINK("http://www.spoj.com/problems/IM","SPOJ IM")</f>
        <v/>
      </c>
      <c r="C145" s="418" t="n"/>
      <c r="D145" s="418" t="n"/>
      <c r="E145" s="418" t="n"/>
      <c r="F145" s="418" t="n"/>
      <c r="G145" s="418" t="n"/>
      <c r="H145" s="418" t="n"/>
      <c r="I145" s="404">
        <f>SUM(E145:H145)</f>
        <v/>
      </c>
      <c r="J145" s="404" t="n"/>
      <c r="K145" s="404" t="n"/>
      <c r="L145" s="295" t="n"/>
      <c r="M145" s="474">
        <f>HYPERLINK("https://github.com/mostafa-saad/MyCompetitiveProgramming/blob/master/SPOJ/SPOJ_IM.txt","Sol")</f>
        <v/>
      </c>
    </row>
    <row r="146" ht="15.75" customHeight="1" s="279">
      <c r="A146" s="432" t="n"/>
      <c r="B146" s="316">
        <f>HYPERLINK("https://uva.onlinejudge.org/index.php?option=com_onlinejudge&amp;Itemid=8&amp;page=show_problem&amp;problem=2100","UVA 11159")</f>
        <v/>
      </c>
      <c r="C146" s="418" t="n"/>
      <c r="D146" s="418" t="n"/>
      <c r="E146" s="418" t="n"/>
      <c r="F146" s="418" t="n"/>
      <c r="G146" s="418" t="n"/>
      <c r="H146" s="418" t="n"/>
      <c r="I146" s="404">
        <f>SUM(E146:H146)</f>
        <v/>
      </c>
      <c r="J146" s="404" t="n"/>
      <c r="K146" s="404" t="n"/>
      <c r="L146" s="295" t="n"/>
      <c r="M146" s="474">
        <f>HYPERLINK("https://github.com/mostafa-saad/MyCompetitiveProgramming/blob/master/UVA/UVA_11159.txt","Sol")</f>
        <v/>
      </c>
    </row>
    <row r="147" ht="15.75" customHeight="1" s="279">
      <c r="A147" s="432" t="n"/>
      <c r="B147" s="432" t="inlineStr">
        <is>
          <t>UVA 1194</t>
        </is>
      </c>
      <c r="C147" s="418" t="n"/>
      <c r="D147" s="418" t="n"/>
      <c r="E147" s="418" t="n"/>
      <c r="F147" s="418" t="n"/>
      <c r="G147" s="418" t="n"/>
      <c r="H147" s="418" t="n"/>
      <c r="I147" s="404">
        <f>SUM(E147:H147)</f>
        <v/>
      </c>
      <c r="J147" s="404" t="n"/>
      <c r="K147" s="404" t="n"/>
      <c r="L147" s="295" t="n"/>
      <c r="M147" s="474">
        <f>HYPERLINK("https://github.com/ilyesG/Competitive-Programming/blob/master/UVA/UVA%201194.cpp","Sol")</f>
        <v/>
      </c>
    </row>
    <row r="148" ht="15.75" customHeight="1" s="279">
      <c r="A148" s="437" t="inlineStr">
        <is>
          <t>Fence Obstacle Course</t>
        </is>
      </c>
      <c r="B148" s="317">
        <f>HYPERLINK("http://poj.org/problem?id=2374","PKU 2374")</f>
        <v/>
      </c>
      <c r="C148" s="418" t="n"/>
      <c r="D148" s="418" t="n"/>
      <c r="E148" s="418" t="n"/>
      <c r="F148" s="418" t="n"/>
      <c r="G148" s="418" t="n"/>
      <c r="H148" s="418" t="n"/>
      <c r="I148" s="404">
        <f>SUM(E148:H148)</f>
        <v/>
      </c>
      <c r="J148" s="295" t="n"/>
      <c r="K148" s="295" t="n"/>
      <c r="M148" s="474">
        <f>HYPERLINK("https://github.com/mostafa-saad/MyCompetitiveProgramming/blob/master/PKU/PKU_2374.txt","Sol")</f>
        <v/>
      </c>
    </row>
    <row r="149" ht="15.75" customHeight="1" s="279">
      <c r="A149" s="437" t="inlineStr">
        <is>
          <t>River Crossing</t>
        </is>
      </c>
      <c r="B149" s="437" t="inlineStr">
        <is>
          <t>UVA 10514</t>
        </is>
      </c>
      <c r="C149" s="418" t="n"/>
      <c r="D149" s="418" t="n"/>
      <c r="E149" s="418" t="n"/>
      <c r="F149" s="418" t="n"/>
      <c r="G149" s="418" t="n"/>
      <c r="H149" s="418" t="n"/>
      <c r="I149" s="404">
        <f>SUM(E149:H149)</f>
        <v/>
      </c>
      <c r="J149" s="295" t="n"/>
      <c r="K149" s="295" t="n"/>
      <c r="M149" s="474">
        <f>HYPERLINK("https://github.com/mostafa-saad/MyCompetitiveProgramming/blob/master/UVA/UVA_10514.txt","Sol")</f>
        <v/>
      </c>
    </row>
    <row r="150" ht="15.75" customHeight="1" s="279">
      <c r="A150" s="437" t="n"/>
      <c r="B150" s="437" t="inlineStr">
        <is>
          <t>SRM368-D1-500</t>
        </is>
      </c>
      <c r="C150" s="418" t="n"/>
      <c r="D150" s="418" t="n"/>
      <c r="E150" s="418" t="n"/>
      <c r="F150" s="418" t="n"/>
      <c r="G150" s="418" t="n"/>
      <c r="H150" s="418" t="n"/>
      <c r="I150" s="404">
        <f>SUM(E150:H150)</f>
        <v/>
      </c>
      <c r="J150" s="295" t="n"/>
      <c r="K150" s="295" t="n"/>
      <c r="M150" s="474">
        <f>HYPERLINK("https://github.com/AbdelrahmanRamadan/competitive-programming/blob/master/Topcoder/SRM368%20Jumping%20Board.cpp","Sol")</f>
        <v/>
      </c>
    </row>
    <row r="151" ht="15.75" customHeight="1" s="279">
      <c r="A151" s="437" t="n"/>
      <c r="B151" s="437" t="inlineStr">
        <is>
          <t>SRM373-D2-1000</t>
        </is>
      </c>
      <c r="C151" s="418" t="n"/>
      <c r="D151" s="418" t="n"/>
      <c r="E151" s="418" t="n"/>
      <c r="F151" s="418" t="n"/>
      <c r="G151" s="418" t="n"/>
      <c r="H151" s="418" t="n"/>
      <c r="I151" s="404">
        <f>SUM(E151:H151)</f>
        <v/>
      </c>
      <c r="J151" s="295" t="n"/>
      <c r="K151" s="295" t="n"/>
      <c r="M151" s="474">
        <f>HYPERLINK("https://github.com/AbdelrahmanRamadan/competitive-programming/blob/master/Topcoder/SRM373%20RectangleCrossings.cpp","Sol")</f>
        <v/>
      </c>
    </row>
    <row r="152" ht="15.75" customHeight="1" s="279">
      <c r="A152" s="437" t="n"/>
      <c r="B152" s="437" t="inlineStr">
        <is>
          <t>ZOJ 2587</t>
        </is>
      </c>
      <c r="C152" s="418" t="n"/>
      <c r="D152" s="418" t="n"/>
      <c r="E152" s="418" t="n"/>
      <c r="F152" s="418" t="n"/>
      <c r="G152" s="418" t="n"/>
      <c r="H152" s="418" t="n"/>
      <c r="I152" s="404">
        <f>SUM(E152:H152)</f>
        <v/>
      </c>
      <c r="J152" s="295" t="n"/>
      <c r="K152" s="295" t="n"/>
      <c r="L152" s="295" t="n"/>
      <c r="M152" s="419">
        <f>HYPERLINK("https://github.com/WaleedAbdelhakim/Competitive-Programming/blob/master/ZOJ/2587.cpp","Sol")</f>
        <v/>
      </c>
    </row>
    <row r="153" ht="15.75" customHeight="1" s="279">
      <c r="A153" s="437" t="n"/>
      <c r="B153" s="437" t="inlineStr">
        <is>
          <t>UVA 10180</t>
        </is>
      </c>
      <c r="C153" s="418" t="n"/>
      <c r="D153" s="418" t="n"/>
      <c r="E153" s="418" t="n"/>
      <c r="F153" s="418" t="n"/>
      <c r="G153" s="418" t="n"/>
      <c r="H153" s="418" t="n"/>
      <c r="I153" s="404">
        <f>SUM(E153:H153)</f>
        <v/>
      </c>
      <c r="J153" s="295" t="n"/>
      <c r="K153" s="295" t="n"/>
      <c r="L153" s="295" t="n"/>
      <c r="M153" s="474">
        <f>HYPERLINK("https://github.com/OmarHashim/Competitive-Programming/blob/master/UVA/10180.cpp","Sol")</f>
        <v/>
      </c>
    </row>
    <row r="154" ht="15.75" customHeight="1" s="279">
      <c r="A154" s="437" t="n"/>
      <c r="B154" s="437" t="inlineStr">
        <is>
          <t>UVA 1184</t>
        </is>
      </c>
      <c r="C154" s="418" t="n"/>
      <c r="D154" s="418" t="n"/>
      <c r="E154" s="418" t="n"/>
      <c r="F154" s="418" t="n"/>
      <c r="G154" s="418" t="n"/>
      <c r="H154" s="418" t="n"/>
      <c r="I154" s="404">
        <f>SUM(E154:H154)</f>
        <v/>
      </c>
      <c r="J154" s="295" t="n"/>
      <c r="K154" s="295" t="n"/>
      <c r="L154" s="295" t="n"/>
      <c r="M154" s="419">
        <f>HYPERLINK("https://github.com/AhmedRamadanAbdElghany/CompetitiveProgramming/blob/master/UVA/1184.cpp","Sol")</f>
        <v/>
      </c>
    </row>
    <row r="155" ht="15.75" customHeight="1" s="279">
      <c r="A155" s="437" t="n"/>
      <c r="B155" s="437" t="inlineStr">
        <is>
          <t>UVA 670</t>
        </is>
      </c>
      <c r="C155" s="418" t="n"/>
      <c r="D155" s="418" t="n"/>
      <c r="E155" s="418" t="n"/>
      <c r="F155" s="418" t="n"/>
      <c r="G155" s="418" t="n"/>
      <c r="H155" s="418" t="n"/>
      <c r="I155" s="404">
        <f>SUM(E155:H155)</f>
        <v/>
      </c>
      <c r="J155" s="295" t="n"/>
      <c r="K155" s="295" t="n"/>
      <c r="L155" s="295" t="n"/>
      <c r="M155" s="419">
        <f>HYPERLINK("https://github.com/tanmoy13/CompetitveProgramming/blob/master/Online-Judge-Solutions/UVA/670%20-%20The%20dog%20task.cpp","Sol")</f>
        <v/>
      </c>
    </row>
    <row r="156" ht="15.75" customHeight="1" s="279">
      <c r="A156" s="437" t="n"/>
      <c r="B156" s="437" t="inlineStr">
        <is>
          <t>SRM558-D1-250</t>
        </is>
      </c>
      <c r="C156" s="418" t="n"/>
      <c r="D156" s="418" t="n"/>
      <c r="E156" s="418" t="n"/>
      <c r="F156" s="418" t="n"/>
      <c r="G156" s="418" t="n"/>
      <c r="H156" s="418" t="n"/>
      <c r="I156" s="404">
        <f>SUM(E156:H156)</f>
        <v/>
      </c>
      <c r="J156" s="295" t="n"/>
      <c r="K156" s="295" t="n"/>
      <c r="L156" s="295" t="n"/>
      <c r="M156" s="304" t="n"/>
    </row>
    <row r="157" ht="15.75" customHeight="1" s="279">
      <c r="A157" s="437" t="n"/>
      <c r="B157" s="437" t="inlineStr">
        <is>
          <t>SRM550-D2-1000</t>
        </is>
      </c>
      <c r="C157" s="418" t="n"/>
      <c r="D157" s="418" t="n"/>
      <c r="E157" s="418" t="n"/>
      <c r="F157" s="418" t="n"/>
      <c r="G157" s="418" t="n"/>
      <c r="H157" s="418" t="n"/>
      <c r="I157" s="404">
        <f>SUM(E157:H157)</f>
        <v/>
      </c>
      <c r="J157" s="295" t="n"/>
      <c r="K157" s="295" t="n"/>
      <c r="L157" s="295" t="n"/>
      <c r="M157" s="304" t="n"/>
    </row>
    <row r="158" ht="15.75" customHeight="1" s="279">
      <c r="A158" s="437" t="n"/>
      <c r="B158" s="437" t="inlineStr">
        <is>
          <t>TIMUS 1156</t>
        </is>
      </c>
      <c r="C158" s="418" t="n"/>
      <c r="D158" s="418" t="n"/>
      <c r="E158" s="418" t="n"/>
      <c r="F158" s="418" t="n"/>
      <c r="G158" s="418" t="n"/>
      <c r="H158" s="418" t="n"/>
      <c r="I158" s="404">
        <f>SUM(E158:H158)</f>
        <v/>
      </c>
      <c r="J158" s="295" t="n"/>
      <c r="K158" s="295" t="n"/>
      <c r="L158" s="295" t="n"/>
      <c r="M158" s="295" t="n"/>
    </row>
  </sheetData>
  <conditionalFormatting sqref="K3:K158">
    <cfRule type="cellIs" rank="0" priority="2" equalAverage="0" operator="equal" aboveAverage="0" dxfId="5" text="" percent="0" bottom="0">
      <formula>"No"</formula>
    </cfRule>
    <cfRule type="cellIs" rank="0" priority="3" equalAverage="0" operator="equal" aboveAverage="0" dxfId="5" text="" percent="0" bottom="0">
      <formula>"no"</formula>
    </cfRule>
    <cfRule type="cellIs" rank="0" priority="4" equalAverage="0" operator="equal" aboveAverage="0" dxfId="5" text="" percent="0" bottom="0">
      <formula>"NO"</formula>
    </cfRule>
  </conditionalFormatting>
  <conditionalFormatting sqref="A131 A136:B136 C3:C158">
    <cfRule type="cellIs" rank="0" priority="5" equalAverage="0" operator="equal" aboveAverage="0" dxfId="0" text="" percent="0" bottom="0">
      <formula>"AC"</formula>
    </cfRule>
    <cfRule type="containsText" rank="0" priority="6" equalAverage="0" operator="containsText" aboveAverage="0" dxfId="1" text="WA" percent="0" bottom="0">
      <formula>NOT(ISERROR(SEARCH("WA",A3)))</formula>
    </cfRule>
    <cfRule type="containsText" rank="0" priority="7" equalAverage="0" operator="containsText" aboveAverage="0" dxfId="2" text="TLE" percent="0" bottom="0">
      <formula>NOT(ISERROR(SEARCH("TLE",A3)))</formula>
    </cfRule>
    <cfRule type="containsText" rank="0" priority="8" equalAverage="0" operator="containsText" aboveAverage="0" dxfId="3" text="RTE" percent="0" bottom="0">
      <formula>NOT(ISERROR(SEARCH("RTE",A3)))</formula>
    </cfRule>
    <cfRule type="containsText" rank="0" priority="9" equalAverage="0" operator="containsText" aboveAverage="0" dxfId="4" text="CS" percent="0" bottom="0">
      <formula>NOT(ISERROR(SEARCH("CS",A3)))</formula>
    </cfRule>
  </conditionalFormatting>
  <conditionalFormatting sqref="A131 A136:B136 C10:C158">
    <cfRule type="containsText" rank="0" priority="10" equalAverage="0" operator="containsText" aboveAverage="0" dxfId="1" text="WA" percent="0" bottom="0">
      <formula>NOT(ISERROR(SEARCH("WA",A10)))</formula>
    </cfRule>
    <cfRule type="containsText" rank="0" priority="11" equalAverage="0" operator="containsText" aboveAverage="0" dxfId="2" text="TLE" percent="0" bottom="0">
      <formula>NOT(ISERROR(SEARCH("TLE",A10)))</formula>
    </cfRule>
    <cfRule type="containsText" rank="0" priority="12" equalAverage="0" operator="containsText" aboveAverage="0" dxfId="3" text="RTE" percent="0" bottom="0">
      <formula>NOT(ISERROR(SEARCH("RTE",A10)))</formula>
    </cfRule>
    <cfRule type="containsText" rank="0" priority="13" equalAverage="0" operator="containsText" aboveAverage="0" dxfId="4" text="CS" percent="0" bottom="0">
      <formula>NOT(ISERROR(SEARCH("CS",A10)))</formula>
    </cfRule>
  </conditionalFormatting>
  <printOptions horizontalCentered="0" verticalCentered="0" headings="0" gridLines="0" gridLinesSet="1"/>
  <pageMargins left="0.747916666666667" right="0.747916666666667" top="0.9840277777777779" bottom="0.9840277777777779" header="0.511811023622047" footer="0.511811023622047"/>
  <pageSetup orientation="portrait" paperSize="1"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2024-10-22T11:27:54Z</dcterms:created>
  <dcterms:modified xmlns:dcterms="http://purl.org/dc/terms/" xmlns:xsi="http://www.w3.org/2001/XMLSchema-instance" xsi:type="dcterms:W3CDTF">2024-10-22T14:59:48Z</dcterms:modified>
  <cp:revision>5</cp:revision>
</cp:coreProperties>
</file>