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xr:revisionPtr revIDLastSave="0" documentId="10_ncr:100000_{0CD25DB7-3EFD-4A40-92E1-2E8803BA6FB2}" xr6:coauthVersionLast="31" xr6:coauthVersionMax="31" xr10:uidLastSave="{00000000-0000-0000-0000-000000000000}"/>
  <bookViews>
    <workbookView xWindow="42120" yWindow="0" windowWidth="20400" windowHeight="9945" xr2:uid="{00000000-000D-0000-FFFF-FFFF00000000}"/>
  </bookViews>
  <sheets>
    <sheet name="Calculate from Values" sheetId="3" r:id="rId1"/>
    <sheet name="Sheet1" sheetId="1" r:id="rId2"/>
    <sheet name="Sheet2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3" l="1"/>
  <c r="L44" i="3" l="1"/>
  <c r="L41" i="3"/>
  <c r="L34" i="3"/>
  <c r="W33" i="3"/>
  <c r="W43" i="3"/>
  <c r="W42" i="3"/>
  <c r="W40" i="3"/>
  <c r="R2" i="3" l="1"/>
  <c r="M2" i="3" l="1"/>
  <c r="H2" i="3"/>
  <c r="A11" i="4" l="1"/>
  <c r="C11" i="4" s="1"/>
  <c r="C5" i="4"/>
  <c r="A10" i="4" l="1"/>
  <c r="A9" i="4"/>
  <c r="B8" i="4"/>
  <c r="A8" i="4"/>
  <c r="L2" i="4"/>
  <c r="B10" i="4" s="1"/>
  <c r="C10" i="4" s="1"/>
  <c r="K2" i="4"/>
  <c r="B9" i="4" s="1"/>
  <c r="C9" i="4" s="1"/>
  <c r="B7" i="4"/>
  <c r="A7" i="4"/>
  <c r="C7" i="4" l="1"/>
  <c r="C8" i="4"/>
  <c r="B6" i="4"/>
  <c r="C6" i="4" s="1"/>
  <c r="K34" i="3"/>
  <c r="K35" i="3"/>
  <c r="K36" i="3"/>
  <c r="K37" i="3"/>
  <c r="K38" i="3"/>
  <c r="K39" i="3"/>
  <c r="K41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W31" i="3" l="1"/>
  <c r="W32" i="3"/>
  <c r="W34" i="3"/>
  <c r="W35" i="3"/>
  <c r="W36" i="3"/>
  <c r="W37" i="3"/>
  <c r="W38" i="3"/>
  <c r="W39" i="3"/>
  <c r="W41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X7" i="3"/>
  <c r="W7" i="3"/>
  <c r="L4" i="3" l="1"/>
  <c r="K4" i="3"/>
  <c r="V2" i="3" l="1"/>
  <c r="J18" i="3" l="1"/>
  <c r="J15" i="3"/>
  <c r="J19" i="3"/>
  <c r="J23" i="3"/>
  <c r="J20" i="3"/>
  <c r="J16" i="3"/>
  <c r="J24" i="3"/>
  <c r="J17" i="3"/>
  <c r="J21" i="3"/>
  <c r="J25" i="3"/>
  <c r="J22" i="3"/>
  <c r="M4" i="3"/>
  <c r="Y2" i="3"/>
  <c r="J10" i="3" l="1"/>
  <c r="L30" i="3"/>
  <c r="L35" i="3"/>
  <c r="L39" i="3"/>
  <c r="L50" i="3"/>
  <c r="L58" i="3"/>
  <c r="L31" i="3"/>
  <c r="L36" i="3"/>
  <c r="L47" i="3"/>
  <c r="L51" i="3"/>
  <c r="L55" i="3"/>
  <c r="L59" i="3"/>
  <c r="L63" i="3"/>
  <c r="L48" i="3"/>
  <c r="L56" i="3"/>
  <c r="L64" i="3"/>
  <c r="L32" i="3"/>
  <c r="L37" i="3"/>
  <c r="L52" i="3"/>
  <c r="L60" i="3"/>
  <c r="L38" i="3"/>
  <c r="L45" i="3"/>
  <c r="L49" i="3"/>
  <c r="L53" i="3"/>
  <c r="L57" i="3"/>
  <c r="L61" i="3"/>
  <c r="L65" i="3"/>
  <c r="L46" i="3"/>
  <c r="L54" i="3"/>
  <c r="L62" i="3"/>
  <c r="L66" i="3"/>
  <c r="J7" i="3"/>
  <c r="J14" i="3"/>
  <c r="J13" i="3"/>
  <c r="J8" i="3"/>
  <c r="J12" i="3"/>
  <c r="J11" i="3"/>
  <c r="J9" i="3"/>
  <c r="AB2" i="3"/>
  <c r="D2" i="3" s="1"/>
  <c r="X58" i="3" l="1"/>
  <c r="X64" i="3"/>
  <c r="X9" i="3"/>
  <c r="X15" i="3"/>
  <c r="X21" i="3"/>
  <c r="X29" i="3"/>
  <c r="X31" i="3"/>
  <c r="X34" i="3"/>
  <c r="X36" i="3"/>
  <c r="X38" i="3"/>
  <c r="X41" i="3"/>
  <c r="X45" i="3"/>
  <c r="X47" i="3"/>
  <c r="X49" i="3"/>
  <c r="X51" i="3"/>
  <c r="X53" i="3"/>
  <c r="X55" i="3"/>
  <c r="X57" i="3"/>
  <c r="X59" i="3"/>
  <c r="X61" i="3"/>
  <c r="X63" i="3"/>
  <c r="X65" i="3"/>
  <c r="X8" i="3"/>
  <c r="X10" i="3"/>
  <c r="X12" i="3"/>
  <c r="X14" i="3"/>
  <c r="X16" i="3"/>
  <c r="X18" i="3"/>
  <c r="X20" i="3"/>
  <c r="X22" i="3"/>
  <c r="X24" i="3"/>
  <c r="X26" i="3"/>
  <c r="X28" i="3"/>
  <c r="X30" i="3"/>
  <c r="X35" i="3"/>
  <c r="X39" i="3"/>
  <c r="X46" i="3"/>
  <c r="X50" i="3"/>
  <c r="X54" i="3"/>
  <c r="X60" i="3"/>
  <c r="X66" i="3"/>
  <c r="X13" i="3"/>
  <c r="X17" i="3"/>
  <c r="X23" i="3"/>
  <c r="X27" i="3"/>
  <c r="X32" i="3"/>
  <c r="X37" i="3"/>
  <c r="X44" i="3"/>
  <c r="X48" i="3"/>
  <c r="X52" i="3"/>
  <c r="X56" i="3"/>
  <c r="X62" i="3"/>
  <c r="X11" i="3"/>
  <c r="X19" i="3"/>
  <c r="X25" i="3"/>
  <c r="J4" i="3"/>
  <c r="V4" i="3" l="1"/>
  <c r="O4" i="3"/>
  <c r="P4" i="3"/>
  <c r="V33" i="3" s="1"/>
  <c r="L33" i="3" l="1"/>
  <c r="K33" i="3"/>
  <c r="L43" i="3"/>
  <c r="K43" i="3"/>
  <c r="V42" i="3"/>
  <c r="V43" i="3"/>
  <c r="K42" i="3"/>
  <c r="L42" i="3"/>
  <c r="H4" i="3"/>
  <c r="V40" i="3"/>
  <c r="L40" i="3"/>
  <c r="K40" i="3"/>
  <c r="K7" i="3"/>
  <c r="L7" i="3"/>
  <c r="V63" i="3"/>
  <c r="D63" i="3" s="1"/>
  <c r="G63" i="3" s="1"/>
  <c r="I63" i="3" s="1"/>
  <c r="V62" i="3"/>
  <c r="V61" i="3"/>
  <c r="V64" i="3"/>
  <c r="V59" i="3"/>
  <c r="D59" i="3" s="1"/>
  <c r="G59" i="3" s="1"/>
  <c r="I59" i="3" s="1"/>
  <c r="V66" i="3"/>
  <c r="V65" i="3"/>
  <c r="V60" i="3"/>
  <c r="V48" i="3"/>
  <c r="D48" i="3" s="1"/>
  <c r="V52" i="3"/>
  <c r="D52" i="3" s="1"/>
  <c r="V56" i="3"/>
  <c r="V55" i="3"/>
  <c r="D55" i="3" s="1"/>
  <c r="V49" i="3"/>
  <c r="D49" i="3" s="1"/>
  <c r="V53" i="3"/>
  <c r="D53" i="3" s="1"/>
  <c r="V57" i="3"/>
  <c r="V47" i="3"/>
  <c r="D47" i="3" s="1"/>
  <c r="V50" i="3"/>
  <c r="D50" i="3" s="1"/>
  <c r="V54" i="3"/>
  <c r="D54" i="3" s="1"/>
  <c r="V58" i="3"/>
  <c r="V51" i="3"/>
  <c r="D51" i="3" s="1"/>
  <c r="R4" i="3"/>
  <c r="V9" i="3"/>
  <c r="V13" i="3"/>
  <c r="V17" i="3"/>
  <c r="V21" i="3"/>
  <c r="V25" i="3"/>
  <c r="V29" i="3"/>
  <c r="D29" i="3" s="1"/>
  <c r="V34" i="3"/>
  <c r="D34" i="3" s="1"/>
  <c r="V38" i="3"/>
  <c r="D38" i="3" s="1"/>
  <c r="V45" i="3"/>
  <c r="D45" i="3" s="1"/>
  <c r="V14" i="3"/>
  <c r="V22" i="3"/>
  <c r="V30" i="3"/>
  <c r="D30" i="3" s="1"/>
  <c r="V39" i="3"/>
  <c r="D39" i="3" s="1"/>
  <c r="V7" i="3"/>
  <c r="V11" i="3"/>
  <c r="V15" i="3"/>
  <c r="V19" i="3"/>
  <c r="V23" i="3"/>
  <c r="V27" i="3"/>
  <c r="V31" i="3"/>
  <c r="D31" i="3" s="1"/>
  <c r="V36" i="3"/>
  <c r="D36" i="3" s="1"/>
  <c r="V41" i="3"/>
  <c r="D41" i="3" s="1"/>
  <c r="V8" i="3"/>
  <c r="V12" i="3"/>
  <c r="V16" i="3"/>
  <c r="V20" i="3"/>
  <c r="V24" i="3"/>
  <c r="V28" i="3"/>
  <c r="D28" i="3" s="1"/>
  <c r="V32" i="3"/>
  <c r="D32" i="3" s="1"/>
  <c r="V37" i="3"/>
  <c r="D37" i="3" s="1"/>
  <c r="V44" i="3"/>
  <c r="D44" i="3" s="1"/>
  <c r="V10" i="3"/>
  <c r="V18" i="3"/>
  <c r="V26" i="3"/>
  <c r="V35" i="3"/>
  <c r="D35" i="3" s="1"/>
  <c r="V46" i="3"/>
  <c r="D46" i="3" s="1"/>
  <c r="Q4" i="3"/>
  <c r="S4" i="3"/>
  <c r="T43" i="3" l="1"/>
  <c r="T33" i="3"/>
  <c r="U43" i="3"/>
  <c r="U33" i="3"/>
  <c r="U40" i="3"/>
  <c r="U42" i="3"/>
  <c r="T40" i="3"/>
  <c r="T42" i="3"/>
  <c r="D65" i="3"/>
  <c r="G65" i="3" s="1"/>
  <c r="I65" i="3" s="1"/>
  <c r="D66" i="3"/>
  <c r="G66" i="3" s="1"/>
  <c r="I66" i="3" s="1"/>
  <c r="D62" i="3"/>
  <c r="G62" i="3" s="1"/>
  <c r="I62" i="3" s="1"/>
  <c r="D61" i="3"/>
  <c r="G61" i="3" s="1"/>
  <c r="I61" i="3" s="1"/>
  <c r="D58" i="3"/>
  <c r="G58" i="3" s="1"/>
  <c r="I58" i="3" s="1"/>
  <c r="D57" i="3"/>
  <c r="G57" i="3" s="1"/>
  <c r="I57" i="3" s="1"/>
  <c r="D56" i="3"/>
  <c r="G56" i="3" s="1"/>
  <c r="I56" i="3" s="1"/>
  <c r="D60" i="3"/>
  <c r="G60" i="3" s="1"/>
  <c r="I60" i="3" s="1"/>
  <c r="D64" i="3"/>
  <c r="G64" i="3" s="1"/>
  <c r="I64" i="3" s="1"/>
  <c r="U64" i="3"/>
  <c r="U60" i="3"/>
  <c r="U61" i="3"/>
  <c r="U62" i="3"/>
  <c r="U63" i="3"/>
  <c r="U66" i="3"/>
  <c r="U65" i="3"/>
  <c r="U59" i="3"/>
  <c r="T65" i="3"/>
  <c r="T60" i="3"/>
  <c r="T62" i="3"/>
  <c r="T66" i="3"/>
  <c r="T61" i="3"/>
  <c r="T64" i="3"/>
  <c r="T63" i="3"/>
  <c r="T59" i="3"/>
  <c r="U50" i="3"/>
  <c r="U55" i="3"/>
  <c r="G55" i="3" s="1"/>
  <c r="I55" i="3" s="1"/>
  <c r="U52" i="3"/>
  <c r="U54" i="3"/>
  <c r="U49" i="3"/>
  <c r="U56" i="3"/>
  <c r="U47" i="3"/>
  <c r="U58" i="3"/>
  <c r="U57" i="3"/>
  <c r="U53" i="3"/>
  <c r="U51" i="3"/>
  <c r="U48" i="3"/>
  <c r="T49" i="3"/>
  <c r="G49" i="3" s="1"/>
  <c r="I49" i="3" s="1"/>
  <c r="T53" i="3"/>
  <c r="G53" i="3" s="1"/>
  <c r="I53" i="3" s="1"/>
  <c r="T57" i="3"/>
  <c r="T47" i="3"/>
  <c r="G47" i="3" s="1"/>
  <c r="I47" i="3" s="1"/>
  <c r="T56" i="3"/>
  <c r="T50" i="3"/>
  <c r="G50" i="3" s="1"/>
  <c r="I50" i="3" s="1"/>
  <c r="T54" i="3"/>
  <c r="T58" i="3"/>
  <c r="T48" i="3"/>
  <c r="T51" i="3"/>
  <c r="T55" i="3"/>
  <c r="T52" i="3"/>
  <c r="G52" i="3" s="1"/>
  <c r="I52" i="3" s="1"/>
  <c r="U7" i="3"/>
  <c r="U23" i="3"/>
  <c r="U41" i="3"/>
  <c r="U20" i="3"/>
  <c r="U37" i="3"/>
  <c r="U17" i="3"/>
  <c r="U34" i="3"/>
  <c r="U26" i="3"/>
  <c r="U30" i="3"/>
  <c r="U11" i="3"/>
  <c r="U27" i="3"/>
  <c r="D27" i="3" s="1"/>
  <c r="U8" i="3"/>
  <c r="U24" i="3"/>
  <c r="U44" i="3"/>
  <c r="U21" i="3"/>
  <c r="U38" i="3"/>
  <c r="U46" i="3"/>
  <c r="U39" i="3"/>
  <c r="U19" i="3"/>
  <c r="U16" i="3"/>
  <c r="U13" i="3"/>
  <c r="U10" i="3"/>
  <c r="U35" i="3"/>
  <c r="U15" i="3"/>
  <c r="U31" i="3"/>
  <c r="U12" i="3"/>
  <c r="U28" i="3"/>
  <c r="U9" i="3"/>
  <c r="U25" i="3"/>
  <c r="U45" i="3"/>
  <c r="U22" i="3"/>
  <c r="U18" i="3"/>
  <c r="U36" i="3"/>
  <c r="U32" i="3"/>
  <c r="U29" i="3"/>
  <c r="U14" i="3"/>
  <c r="T7" i="3"/>
  <c r="T11" i="3"/>
  <c r="T15" i="3"/>
  <c r="T19" i="3"/>
  <c r="T23" i="3"/>
  <c r="T27" i="3"/>
  <c r="T31" i="3"/>
  <c r="T36" i="3"/>
  <c r="G36" i="3" s="1"/>
  <c r="I36" i="3" s="1"/>
  <c r="T41" i="3"/>
  <c r="T8" i="3"/>
  <c r="T12" i="3"/>
  <c r="T16" i="3"/>
  <c r="T20" i="3"/>
  <c r="T24" i="3"/>
  <c r="T28" i="3"/>
  <c r="T32" i="3"/>
  <c r="T37" i="3"/>
  <c r="G37" i="3" s="1"/>
  <c r="I37" i="3" s="1"/>
  <c r="T44" i="3"/>
  <c r="G44" i="3" s="1"/>
  <c r="I44" i="3" s="1"/>
  <c r="T9" i="3"/>
  <c r="T13" i="3"/>
  <c r="T17" i="3"/>
  <c r="D17" i="3" s="1"/>
  <c r="T21" i="3"/>
  <c r="T25" i="3"/>
  <c r="T29" i="3"/>
  <c r="T34" i="3"/>
  <c r="T38" i="3"/>
  <c r="T45" i="3"/>
  <c r="G45" i="3" s="1"/>
  <c r="I45" i="3" s="1"/>
  <c r="T10" i="3"/>
  <c r="T26" i="3"/>
  <c r="T46" i="3"/>
  <c r="G46" i="3" s="1"/>
  <c r="I46" i="3" s="1"/>
  <c r="T39" i="3"/>
  <c r="T14" i="3"/>
  <c r="T30" i="3"/>
  <c r="T18" i="3"/>
  <c r="T35" i="3"/>
  <c r="G35" i="3" s="1"/>
  <c r="I35" i="3" s="1"/>
  <c r="T22" i="3"/>
  <c r="D18" i="3" l="1"/>
  <c r="D20" i="3"/>
  <c r="D26" i="3"/>
  <c r="D25" i="3"/>
  <c r="D21" i="3"/>
  <c r="D22" i="3"/>
  <c r="D19" i="3"/>
  <c r="D23" i="3"/>
  <c r="D24" i="3"/>
  <c r="G51" i="3"/>
  <c r="I51" i="3" s="1"/>
  <c r="G41" i="3"/>
  <c r="I41" i="3" s="1"/>
  <c r="G54" i="3"/>
  <c r="I54" i="3" s="1"/>
  <c r="G48" i="3"/>
  <c r="I48" i="3" s="1"/>
  <c r="D4" i="3"/>
  <c r="E4" i="3"/>
  <c r="A4" i="3"/>
  <c r="F4" i="3"/>
  <c r="P43" i="3" l="1"/>
  <c r="P33" i="3"/>
  <c r="S33" i="3"/>
  <c r="N33" i="3"/>
  <c r="Q43" i="3"/>
  <c r="Q33" i="3"/>
  <c r="N43" i="3"/>
  <c r="S43" i="3"/>
  <c r="N42" i="3"/>
  <c r="S42" i="3"/>
  <c r="P40" i="3"/>
  <c r="P42" i="3"/>
  <c r="Q40" i="3"/>
  <c r="Q42" i="3"/>
  <c r="N40" i="3"/>
  <c r="S40" i="3"/>
  <c r="I4" i="3"/>
  <c r="N65" i="3"/>
  <c r="N62" i="3"/>
  <c r="N66" i="3"/>
  <c r="N59" i="3"/>
  <c r="N60" i="3"/>
  <c r="N63" i="3"/>
  <c r="N64" i="3"/>
  <c r="N61" i="3"/>
  <c r="S62" i="3"/>
  <c r="S61" i="3"/>
  <c r="S60" i="3"/>
  <c r="S65" i="3"/>
  <c r="S66" i="3"/>
  <c r="S64" i="3"/>
  <c r="S63" i="3"/>
  <c r="S59" i="3"/>
  <c r="Q62" i="3"/>
  <c r="B62" i="3" s="1"/>
  <c r="F62" i="3" s="1"/>
  <c r="J62" i="3" s="1"/>
  <c r="Q66" i="3"/>
  <c r="B66" i="3" s="1"/>
  <c r="F66" i="3" s="1"/>
  <c r="J66" i="3" s="1"/>
  <c r="Q59" i="3"/>
  <c r="Q60" i="3"/>
  <c r="Q63" i="3"/>
  <c r="B63" i="3" s="1"/>
  <c r="F63" i="3" s="1"/>
  <c r="J63" i="3" s="1"/>
  <c r="Q64" i="3"/>
  <c r="Q61" i="3"/>
  <c r="B61" i="3" s="1"/>
  <c r="F61" i="3" s="1"/>
  <c r="J61" i="3" s="1"/>
  <c r="Q65" i="3"/>
  <c r="P65" i="3"/>
  <c r="P60" i="3"/>
  <c r="P62" i="3"/>
  <c r="P66" i="3"/>
  <c r="P61" i="3"/>
  <c r="P64" i="3"/>
  <c r="P63" i="3"/>
  <c r="P59" i="3"/>
  <c r="N51" i="3"/>
  <c r="N55" i="3"/>
  <c r="S49" i="3"/>
  <c r="S53" i="3"/>
  <c r="S57" i="3"/>
  <c r="N47" i="3"/>
  <c r="N48" i="3"/>
  <c r="N52" i="3"/>
  <c r="N56" i="3"/>
  <c r="S50" i="3"/>
  <c r="S54" i="3"/>
  <c r="S58" i="3"/>
  <c r="S47" i="3"/>
  <c r="N54" i="3"/>
  <c r="S48" i="3"/>
  <c r="S52" i="3"/>
  <c r="N49" i="3"/>
  <c r="N53" i="3"/>
  <c r="N57" i="3"/>
  <c r="S51" i="3"/>
  <c r="S55" i="3"/>
  <c r="N50" i="3"/>
  <c r="N58" i="3"/>
  <c r="S56" i="3"/>
  <c r="Q49" i="3"/>
  <c r="B49" i="3" s="1"/>
  <c r="Q53" i="3"/>
  <c r="B53" i="3" s="1"/>
  <c r="Q57" i="3"/>
  <c r="Q47" i="3"/>
  <c r="B47" i="3" s="1"/>
  <c r="Q56" i="3"/>
  <c r="B56" i="3" s="1"/>
  <c r="F56" i="3" s="1"/>
  <c r="J56" i="3" s="1"/>
  <c r="Q50" i="3"/>
  <c r="B50" i="3" s="1"/>
  <c r="Q54" i="3"/>
  <c r="B54" i="3" s="1"/>
  <c r="Q58" i="3"/>
  <c r="Q52" i="3"/>
  <c r="B52" i="3" s="1"/>
  <c r="Q51" i="3"/>
  <c r="B51" i="3" s="1"/>
  <c r="Q55" i="3"/>
  <c r="B55" i="3" s="1"/>
  <c r="Q48" i="3"/>
  <c r="B48" i="3" s="1"/>
  <c r="P49" i="3"/>
  <c r="P53" i="3"/>
  <c r="P57" i="3"/>
  <c r="P50" i="3"/>
  <c r="P54" i="3"/>
  <c r="P58" i="3"/>
  <c r="P48" i="3"/>
  <c r="P56" i="3"/>
  <c r="P51" i="3"/>
  <c r="P55" i="3"/>
  <c r="P47" i="3"/>
  <c r="P52" i="3"/>
  <c r="P7" i="3"/>
  <c r="P11" i="3"/>
  <c r="P15" i="3"/>
  <c r="P19" i="3"/>
  <c r="P23" i="3"/>
  <c r="P27" i="3"/>
  <c r="P31" i="3"/>
  <c r="P36" i="3"/>
  <c r="P41" i="3"/>
  <c r="P8" i="3"/>
  <c r="P12" i="3"/>
  <c r="P16" i="3"/>
  <c r="P20" i="3"/>
  <c r="P24" i="3"/>
  <c r="P28" i="3"/>
  <c r="P32" i="3"/>
  <c r="P37" i="3"/>
  <c r="P44" i="3"/>
  <c r="P9" i="3"/>
  <c r="P13" i="3"/>
  <c r="P17" i="3"/>
  <c r="P21" i="3"/>
  <c r="P25" i="3"/>
  <c r="P29" i="3"/>
  <c r="P34" i="3"/>
  <c r="P38" i="3"/>
  <c r="P45" i="3"/>
  <c r="P10" i="3"/>
  <c r="P26" i="3"/>
  <c r="P46" i="3"/>
  <c r="P22" i="3"/>
  <c r="P14" i="3"/>
  <c r="P30" i="3"/>
  <c r="P39" i="3"/>
  <c r="P18" i="3"/>
  <c r="P35" i="3"/>
  <c r="Q7" i="3"/>
  <c r="Q11" i="3"/>
  <c r="Q15" i="3"/>
  <c r="Q19" i="3"/>
  <c r="Q23" i="3"/>
  <c r="Q27" i="3"/>
  <c r="Q31" i="3"/>
  <c r="B31" i="3" s="1"/>
  <c r="Q36" i="3"/>
  <c r="B36" i="3" s="1"/>
  <c r="Q41" i="3"/>
  <c r="B41" i="3" s="1"/>
  <c r="Q8" i="3"/>
  <c r="Q12" i="3"/>
  <c r="Q16" i="3"/>
  <c r="Q20" i="3"/>
  <c r="Q24" i="3"/>
  <c r="Q28" i="3"/>
  <c r="B28" i="3" s="1"/>
  <c r="Q32" i="3"/>
  <c r="B32" i="3" s="1"/>
  <c r="Q37" i="3"/>
  <c r="B37" i="3" s="1"/>
  <c r="Q44" i="3"/>
  <c r="B44" i="3" s="1"/>
  <c r="Q9" i="3"/>
  <c r="Q13" i="3"/>
  <c r="Q17" i="3"/>
  <c r="Q21" i="3"/>
  <c r="Q25" i="3"/>
  <c r="Q29" i="3"/>
  <c r="B29" i="3" s="1"/>
  <c r="Q34" i="3"/>
  <c r="B34" i="3" s="1"/>
  <c r="Q38" i="3"/>
  <c r="B38" i="3" s="1"/>
  <c r="Q45" i="3"/>
  <c r="B45" i="3" s="1"/>
  <c r="Q14" i="3"/>
  <c r="Q30" i="3"/>
  <c r="B30" i="3" s="1"/>
  <c r="Q10" i="3"/>
  <c r="Q18" i="3"/>
  <c r="Q35" i="3"/>
  <c r="B35" i="3" s="1"/>
  <c r="Q46" i="3"/>
  <c r="B46" i="3" s="1"/>
  <c r="Q22" i="3"/>
  <c r="Q39" i="3"/>
  <c r="B39" i="3" s="1"/>
  <c r="Q26" i="3"/>
  <c r="S7" i="3"/>
  <c r="S11" i="3"/>
  <c r="D11" i="3" s="1"/>
  <c r="S15" i="3"/>
  <c r="S19" i="3"/>
  <c r="G19" i="3" s="1"/>
  <c r="S23" i="3"/>
  <c r="G23" i="3" s="1"/>
  <c r="I23" i="3" s="1"/>
  <c r="S27" i="3"/>
  <c r="G27" i="3" s="1"/>
  <c r="I27" i="3" s="1"/>
  <c r="S31" i="3"/>
  <c r="G31" i="3" s="1"/>
  <c r="I31" i="3" s="1"/>
  <c r="S36" i="3"/>
  <c r="S41" i="3"/>
  <c r="N7" i="3"/>
  <c r="N11" i="3"/>
  <c r="B11" i="3" s="1"/>
  <c r="N15" i="3"/>
  <c r="N19" i="3"/>
  <c r="N23" i="3"/>
  <c r="N27" i="3"/>
  <c r="N31" i="3"/>
  <c r="N36" i="3"/>
  <c r="N41" i="3"/>
  <c r="S8" i="3"/>
  <c r="S12" i="3"/>
  <c r="D12" i="3" s="1"/>
  <c r="S16" i="3"/>
  <c r="S20" i="3"/>
  <c r="G20" i="3" s="1"/>
  <c r="I20" i="3" s="1"/>
  <c r="S24" i="3"/>
  <c r="G24" i="3" s="1"/>
  <c r="I24" i="3" s="1"/>
  <c r="S28" i="3"/>
  <c r="G28" i="3" s="1"/>
  <c r="I28" i="3" s="1"/>
  <c r="S32" i="3"/>
  <c r="G32" i="3" s="1"/>
  <c r="I32" i="3" s="1"/>
  <c r="S37" i="3"/>
  <c r="S44" i="3"/>
  <c r="N8" i="3"/>
  <c r="N12" i="3"/>
  <c r="B12" i="3" s="1"/>
  <c r="N16" i="3"/>
  <c r="N20" i="3"/>
  <c r="N24" i="3"/>
  <c r="N28" i="3"/>
  <c r="N32" i="3"/>
  <c r="N37" i="3"/>
  <c r="N44" i="3"/>
  <c r="S9" i="3"/>
  <c r="S13" i="3"/>
  <c r="S17" i="3"/>
  <c r="G17" i="3" s="1"/>
  <c r="S21" i="3"/>
  <c r="G21" i="3" s="1"/>
  <c r="I21" i="3" s="1"/>
  <c r="S25" i="3"/>
  <c r="G25" i="3" s="1"/>
  <c r="I25" i="3" s="1"/>
  <c r="S29" i="3"/>
  <c r="G29" i="3" s="1"/>
  <c r="I29" i="3" s="1"/>
  <c r="S34" i="3"/>
  <c r="G34" i="3" s="1"/>
  <c r="I34" i="3" s="1"/>
  <c r="S38" i="3"/>
  <c r="S45" i="3"/>
  <c r="N9" i="3"/>
  <c r="N13" i="3"/>
  <c r="B13" i="3" s="1"/>
  <c r="N17" i="3"/>
  <c r="N21" i="3"/>
  <c r="N25" i="3"/>
  <c r="N29" i="3"/>
  <c r="N34" i="3"/>
  <c r="N38" i="3"/>
  <c r="N45" i="3"/>
  <c r="S22" i="3"/>
  <c r="G22" i="3" s="1"/>
  <c r="I22" i="3" s="1"/>
  <c r="S39" i="3"/>
  <c r="N18" i="3"/>
  <c r="N35" i="3"/>
  <c r="S10" i="3"/>
  <c r="S26" i="3"/>
  <c r="G26" i="3" s="1"/>
  <c r="I26" i="3" s="1"/>
  <c r="S46" i="3"/>
  <c r="N22" i="3"/>
  <c r="N39" i="3"/>
  <c r="S18" i="3"/>
  <c r="G18" i="3" s="1"/>
  <c r="N14" i="3"/>
  <c r="S14" i="3"/>
  <c r="D14" i="3" s="1"/>
  <c r="S30" i="3"/>
  <c r="G30" i="3" s="1"/>
  <c r="I30" i="3" s="1"/>
  <c r="N10" i="3"/>
  <c r="N26" i="3"/>
  <c r="N46" i="3"/>
  <c r="S35" i="3"/>
  <c r="N30" i="3"/>
  <c r="B4" i="3"/>
  <c r="N4" i="3"/>
  <c r="G4" i="3" s="1"/>
  <c r="U4" i="3"/>
  <c r="T4" i="3"/>
  <c r="C4" i="3"/>
  <c r="A22" i="1"/>
  <c r="B13" i="1" s="1"/>
  <c r="M43" i="3" l="1"/>
  <c r="B43" i="3" s="1"/>
  <c r="F43" i="3" s="1"/>
  <c r="J43" i="3" s="1"/>
  <c r="M33" i="3"/>
  <c r="B33" i="3" s="1"/>
  <c r="F33" i="3" s="1"/>
  <c r="J33" i="3" s="1"/>
  <c r="R43" i="3"/>
  <c r="D43" i="3" s="1"/>
  <c r="G43" i="3" s="1"/>
  <c r="I43" i="3" s="1"/>
  <c r="R33" i="3"/>
  <c r="D33" i="3" s="1"/>
  <c r="G33" i="3" s="1"/>
  <c r="I33" i="3" s="1"/>
  <c r="O33" i="3"/>
  <c r="O43" i="3"/>
  <c r="R40" i="3"/>
  <c r="D40" i="3" s="1"/>
  <c r="G40" i="3" s="1"/>
  <c r="I40" i="3" s="1"/>
  <c r="R42" i="3"/>
  <c r="D42" i="3" s="1"/>
  <c r="G42" i="3" s="1"/>
  <c r="I42" i="3" s="1"/>
  <c r="O42" i="3"/>
  <c r="M40" i="3"/>
  <c r="B40" i="3" s="1"/>
  <c r="F40" i="3" s="1"/>
  <c r="J40" i="3" s="1"/>
  <c r="M42" i="3"/>
  <c r="B42" i="3" s="1"/>
  <c r="F42" i="3" s="1"/>
  <c r="J42" i="3" s="1"/>
  <c r="O40" i="3"/>
  <c r="B27" i="3"/>
  <c r="F55" i="3"/>
  <c r="J55" i="3" s="1"/>
  <c r="Y56" i="3"/>
  <c r="D16" i="3"/>
  <c r="G16" i="3" s="1"/>
  <c r="I16" i="3" s="1"/>
  <c r="B15" i="1"/>
  <c r="B14" i="1"/>
  <c r="H61" i="3"/>
  <c r="Y61" i="3"/>
  <c r="H66" i="3"/>
  <c r="Y66" i="3"/>
  <c r="H63" i="3"/>
  <c r="Y63" i="3"/>
  <c r="H62" i="3"/>
  <c r="Y62" i="3"/>
  <c r="D15" i="3"/>
  <c r="G15" i="3" s="1"/>
  <c r="I15" i="3" s="1"/>
  <c r="D13" i="3"/>
  <c r="G13" i="3" s="1"/>
  <c r="I13" i="3" s="1"/>
  <c r="B58" i="3"/>
  <c r="F58" i="3" s="1"/>
  <c r="J58" i="3" s="1"/>
  <c r="B60" i="3"/>
  <c r="F60" i="3" s="1"/>
  <c r="J60" i="3" s="1"/>
  <c r="B59" i="3"/>
  <c r="F59" i="3" s="1"/>
  <c r="J59" i="3" s="1"/>
  <c r="B64" i="3"/>
  <c r="F64" i="3" s="1"/>
  <c r="J64" i="3" s="1"/>
  <c r="B65" i="3"/>
  <c r="F65" i="3" s="1"/>
  <c r="J65" i="3" s="1"/>
  <c r="B57" i="3"/>
  <c r="F57" i="3" s="1"/>
  <c r="J57" i="3" s="1"/>
  <c r="M65" i="3"/>
  <c r="M59" i="3"/>
  <c r="M62" i="3"/>
  <c r="M66" i="3"/>
  <c r="M60" i="3"/>
  <c r="M64" i="3"/>
  <c r="M63" i="3"/>
  <c r="M61" i="3"/>
  <c r="R63" i="3"/>
  <c r="R61" i="3"/>
  <c r="R66" i="3"/>
  <c r="R64" i="3"/>
  <c r="R62" i="3"/>
  <c r="R65" i="3"/>
  <c r="R59" i="3"/>
  <c r="R60" i="3"/>
  <c r="O62" i="3"/>
  <c r="O66" i="3"/>
  <c r="O59" i="3"/>
  <c r="O65" i="3"/>
  <c r="O63" i="3"/>
  <c r="O60" i="3"/>
  <c r="O64" i="3"/>
  <c r="O61" i="3"/>
  <c r="R48" i="3"/>
  <c r="R52" i="3"/>
  <c r="R56" i="3"/>
  <c r="R47" i="3"/>
  <c r="R55" i="3"/>
  <c r="R49" i="3"/>
  <c r="R53" i="3"/>
  <c r="R57" i="3"/>
  <c r="R50" i="3"/>
  <c r="R54" i="3"/>
  <c r="R58" i="3"/>
  <c r="R51" i="3"/>
  <c r="M50" i="3"/>
  <c r="M54" i="3"/>
  <c r="M58" i="3"/>
  <c r="M51" i="3"/>
  <c r="M55" i="3"/>
  <c r="M48" i="3"/>
  <c r="M52" i="3"/>
  <c r="M56" i="3"/>
  <c r="M47" i="3"/>
  <c r="M49" i="3"/>
  <c r="M53" i="3"/>
  <c r="M57" i="3"/>
  <c r="H56" i="3"/>
  <c r="O48" i="3"/>
  <c r="F48" i="3" s="1"/>
  <c r="J48" i="3" s="1"/>
  <c r="O52" i="3"/>
  <c r="F52" i="3" s="1"/>
  <c r="J52" i="3" s="1"/>
  <c r="O56" i="3"/>
  <c r="O55" i="3"/>
  <c r="O49" i="3"/>
  <c r="F49" i="3" s="1"/>
  <c r="J49" i="3" s="1"/>
  <c r="O53" i="3"/>
  <c r="F53" i="3" s="1"/>
  <c r="J53" i="3" s="1"/>
  <c r="O57" i="3"/>
  <c r="O47" i="3"/>
  <c r="F47" i="3" s="1"/>
  <c r="J47" i="3" s="1"/>
  <c r="O50" i="3"/>
  <c r="F50" i="3" s="1"/>
  <c r="J50" i="3" s="1"/>
  <c r="O54" i="3"/>
  <c r="F54" i="3" s="1"/>
  <c r="J54" i="3" s="1"/>
  <c r="O58" i="3"/>
  <c r="O51" i="3"/>
  <c r="F51" i="3" s="1"/>
  <c r="J51" i="3" s="1"/>
  <c r="M10" i="3"/>
  <c r="M14" i="3"/>
  <c r="M18" i="3"/>
  <c r="M22" i="3"/>
  <c r="M26" i="3"/>
  <c r="M30" i="3"/>
  <c r="M35" i="3"/>
  <c r="M39" i="3"/>
  <c r="M46" i="3"/>
  <c r="M13" i="3"/>
  <c r="M25" i="3"/>
  <c r="M38" i="3"/>
  <c r="M7" i="3"/>
  <c r="B7" i="3" s="1"/>
  <c r="M11" i="3"/>
  <c r="F11" i="3" s="1"/>
  <c r="M15" i="3"/>
  <c r="M19" i="3"/>
  <c r="M23" i="3"/>
  <c r="M27" i="3"/>
  <c r="M31" i="3"/>
  <c r="M36" i="3"/>
  <c r="M41" i="3"/>
  <c r="M17" i="3"/>
  <c r="M29" i="3"/>
  <c r="M45" i="3"/>
  <c r="M8" i="3"/>
  <c r="B8" i="3" s="1"/>
  <c r="M12" i="3"/>
  <c r="M16" i="3"/>
  <c r="M20" i="3"/>
  <c r="M24" i="3"/>
  <c r="M28" i="3"/>
  <c r="M32" i="3"/>
  <c r="M37" i="3"/>
  <c r="M44" i="3"/>
  <c r="M9" i="3"/>
  <c r="B9" i="3" s="1"/>
  <c r="M21" i="3"/>
  <c r="M34" i="3"/>
  <c r="R7" i="3"/>
  <c r="R11" i="3"/>
  <c r="G11" i="3" s="1"/>
  <c r="R15" i="3"/>
  <c r="R19" i="3"/>
  <c r="R23" i="3"/>
  <c r="R27" i="3"/>
  <c r="R31" i="3"/>
  <c r="R36" i="3"/>
  <c r="R41" i="3"/>
  <c r="R8" i="3"/>
  <c r="D8" i="3" s="1"/>
  <c r="R12" i="3"/>
  <c r="R16" i="3"/>
  <c r="R20" i="3"/>
  <c r="R24" i="3"/>
  <c r="R28" i="3"/>
  <c r="R32" i="3"/>
  <c r="R37" i="3"/>
  <c r="R44" i="3"/>
  <c r="R9" i="3"/>
  <c r="R13" i="3"/>
  <c r="R17" i="3"/>
  <c r="R21" i="3"/>
  <c r="R25" i="3"/>
  <c r="R29" i="3"/>
  <c r="R34" i="3"/>
  <c r="R38" i="3"/>
  <c r="G38" i="3" s="1"/>
  <c r="I38" i="3" s="1"/>
  <c r="R45" i="3"/>
  <c r="R18" i="3"/>
  <c r="R35" i="3"/>
  <c r="R22" i="3"/>
  <c r="R39" i="3"/>
  <c r="G39" i="3" s="1"/>
  <c r="I39" i="3" s="1"/>
  <c r="R30" i="3"/>
  <c r="R10" i="3"/>
  <c r="D10" i="3" s="1"/>
  <c r="R26" i="3"/>
  <c r="R46" i="3"/>
  <c r="R14" i="3"/>
  <c r="G14" i="3" s="1"/>
  <c r="I14" i="3" s="1"/>
  <c r="O7" i="3"/>
  <c r="O11" i="3"/>
  <c r="O15" i="3"/>
  <c r="O19" i="3"/>
  <c r="B19" i="3" s="1"/>
  <c r="O23" i="3"/>
  <c r="O27" i="3"/>
  <c r="O31" i="3"/>
  <c r="F31" i="3" s="1"/>
  <c r="J31" i="3" s="1"/>
  <c r="O36" i="3"/>
  <c r="F36" i="3" s="1"/>
  <c r="J36" i="3" s="1"/>
  <c r="O41" i="3"/>
  <c r="F41" i="3" s="1"/>
  <c r="J41" i="3" s="1"/>
  <c r="O8" i="3"/>
  <c r="O12" i="3"/>
  <c r="O16" i="3"/>
  <c r="O20" i="3"/>
  <c r="B20" i="3" s="1"/>
  <c r="O24" i="3"/>
  <c r="O28" i="3"/>
  <c r="F28" i="3" s="1"/>
  <c r="O32" i="3"/>
  <c r="F32" i="3" s="1"/>
  <c r="J32" i="3" s="1"/>
  <c r="O37" i="3"/>
  <c r="F37" i="3" s="1"/>
  <c r="J37" i="3" s="1"/>
  <c r="O44" i="3"/>
  <c r="F44" i="3" s="1"/>
  <c r="J44" i="3" s="1"/>
  <c r="O9" i="3"/>
  <c r="O13" i="3"/>
  <c r="O17" i="3"/>
  <c r="O21" i="3"/>
  <c r="B21" i="3" s="1"/>
  <c r="O25" i="3"/>
  <c r="O29" i="3"/>
  <c r="F29" i="3" s="1"/>
  <c r="O34" i="3"/>
  <c r="F34" i="3" s="1"/>
  <c r="J34" i="3" s="1"/>
  <c r="O38" i="3"/>
  <c r="F38" i="3" s="1"/>
  <c r="J38" i="3" s="1"/>
  <c r="O45" i="3"/>
  <c r="F45" i="3" s="1"/>
  <c r="J45" i="3" s="1"/>
  <c r="O22" i="3"/>
  <c r="O39" i="3"/>
  <c r="F39" i="3" s="1"/>
  <c r="J39" i="3" s="1"/>
  <c r="O35" i="3"/>
  <c r="F35" i="3" s="1"/>
  <c r="J35" i="3" s="1"/>
  <c r="O10" i="3"/>
  <c r="O26" i="3"/>
  <c r="B26" i="3" s="1"/>
  <c r="O46" i="3"/>
  <c r="F46" i="3" s="1"/>
  <c r="J46" i="3" s="1"/>
  <c r="O14" i="3"/>
  <c r="O30" i="3"/>
  <c r="F30" i="3" s="1"/>
  <c r="J30" i="3" s="1"/>
  <c r="O18" i="3"/>
  <c r="I18" i="3"/>
  <c r="I19" i="3"/>
  <c r="I17" i="3"/>
  <c r="G12" i="3"/>
  <c r="F12" i="3"/>
  <c r="F13" i="3"/>
  <c r="D22" i="1"/>
  <c r="H43" i="3" l="1"/>
  <c r="Y43" i="3"/>
  <c r="H33" i="3"/>
  <c r="Y33" i="3"/>
  <c r="Y40" i="3"/>
  <c r="H40" i="3"/>
  <c r="H42" i="3"/>
  <c r="Y42" i="3"/>
  <c r="H55" i="3"/>
  <c r="F27" i="3"/>
  <c r="H27" i="3" s="1"/>
  <c r="J29" i="3"/>
  <c r="J28" i="3"/>
  <c r="F26" i="3"/>
  <c r="Y55" i="3"/>
  <c r="Y44" i="3"/>
  <c r="Y41" i="3"/>
  <c r="Y50" i="3"/>
  <c r="Y49" i="3"/>
  <c r="Y48" i="3"/>
  <c r="Y54" i="3"/>
  <c r="Y53" i="3"/>
  <c r="Y52" i="3"/>
  <c r="Y51" i="3"/>
  <c r="Y47" i="3"/>
  <c r="Y46" i="3"/>
  <c r="Y45" i="3"/>
  <c r="B25" i="3"/>
  <c r="F25" i="3" s="1"/>
  <c r="Y39" i="3"/>
  <c r="B10" i="3"/>
  <c r="F10" i="3" s="1"/>
  <c r="Y12" i="3"/>
  <c r="Y13" i="3"/>
  <c r="Y35" i="3"/>
  <c r="Y11" i="3"/>
  <c r="Y34" i="3"/>
  <c r="Y37" i="3"/>
  <c r="H65" i="3"/>
  <c r="Y65" i="3"/>
  <c r="H58" i="3"/>
  <c r="Y58" i="3"/>
  <c r="Y38" i="3"/>
  <c r="H60" i="3"/>
  <c r="Y60" i="3"/>
  <c r="Y29" i="3"/>
  <c r="Y32" i="3"/>
  <c r="Y36" i="3"/>
  <c r="H64" i="3"/>
  <c r="Y64" i="3"/>
  <c r="H57" i="3"/>
  <c r="Y57" i="3"/>
  <c r="Y30" i="3"/>
  <c r="Y28" i="3"/>
  <c r="Y31" i="3"/>
  <c r="H59" i="3"/>
  <c r="Y59" i="3"/>
  <c r="D9" i="3"/>
  <c r="G9" i="3" s="1"/>
  <c r="I9" i="3" s="1"/>
  <c r="B24" i="3"/>
  <c r="F24" i="3" s="1"/>
  <c r="B23" i="3"/>
  <c r="F23" i="3" s="1"/>
  <c r="B15" i="3"/>
  <c r="F15" i="3" s="1"/>
  <c r="B14" i="3"/>
  <c r="F14" i="3" s="1"/>
  <c r="B17" i="3"/>
  <c r="F17" i="3" s="1"/>
  <c r="B22" i="3"/>
  <c r="F22" i="3" s="1"/>
  <c r="B16" i="3"/>
  <c r="F16" i="3" s="1"/>
  <c r="D7" i="3"/>
  <c r="G7" i="3" s="1"/>
  <c r="I7" i="3" s="1"/>
  <c r="B18" i="3"/>
  <c r="F18" i="3" s="1"/>
  <c r="H54" i="3"/>
  <c r="H53" i="3"/>
  <c r="H52" i="3"/>
  <c r="H50" i="3"/>
  <c r="H49" i="3"/>
  <c r="H48" i="3"/>
  <c r="H51" i="3"/>
  <c r="H47" i="3"/>
  <c r="G10" i="3"/>
  <c r="G8" i="3"/>
  <c r="I8" i="3" s="1"/>
  <c r="F19" i="3"/>
  <c r="F21" i="3"/>
  <c r="F20" i="3"/>
  <c r="I12" i="3"/>
  <c r="I11" i="3"/>
  <c r="H41" i="3"/>
  <c r="H35" i="3"/>
  <c r="H34" i="3"/>
  <c r="H45" i="3"/>
  <c r="H11" i="3"/>
  <c r="H44" i="3"/>
  <c r="H39" i="3"/>
  <c r="H13" i="3"/>
  <c r="H12" i="3"/>
  <c r="H28" i="3"/>
  <c r="H37" i="3"/>
  <c r="H32" i="3"/>
  <c r="H46" i="3"/>
  <c r="H36" i="3"/>
  <c r="H38" i="3"/>
  <c r="H29" i="3"/>
  <c r="H31" i="3"/>
  <c r="H30" i="3"/>
  <c r="F8" i="3"/>
  <c r="F9" i="3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Y27" i="3" l="1"/>
  <c r="J27" i="3"/>
  <c r="L29" i="3"/>
  <c r="L28" i="3"/>
  <c r="L27" i="3"/>
  <c r="J26" i="3"/>
  <c r="L26" i="3"/>
  <c r="L8" i="3"/>
  <c r="L12" i="3"/>
  <c r="L18" i="3"/>
  <c r="L21" i="3"/>
  <c r="L24" i="3"/>
  <c r="H26" i="3"/>
  <c r="L19" i="3"/>
  <c r="L14" i="3"/>
  <c r="L11" i="3"/>
  <c r="L10" i="3"/>
  <c r="L16" i="3"/>
  <c r="L15" i="3"/>
  <c r="L25" i="3"/>
  <c r="L13" i="3"/>
  <c r="L17" i="3"/>
  <c r="L9" i="3"/>
  <c r="L20" i="3"/>
  <c r="L22" i="3"/>
  <c r="L23" i="3"/>
  <c r="Y26" i="3"/>
  <c r="H10" i="3"/>
  <c r="H25" i="3"/>
  <c r="Y25" i="3"/>
  <c r="Y10" i="3"/>
  <c r="Y7" i="3"/>
  <c r="Y18" i="3"/>
  <c r="Y9" i="3"/>
  <c r="Y14" i="3"/>
  <c r="Y24" i="3"/>
  <c r="Y8" i="3"/>
  <c r="Y16" i="3"/>
  <c r="Y15" i="3"/>
  <c r="Y17" i="3"/>
  <c r="Y22" i="3"/>
  <c r="Y23" i="3"/>
  <c r="Y19" i="3"/>
  <c r="Y20" i="3"/>
  <c r="Y21" i="3"/>
  <c r="H24" i="3"/>
  <c r="H23" i="3"/>
  <c r="H14" i="3"/>
  <c r="H15" i="3"/>
  <c r="H22" i="3"/>
  <c r="H16" i="3"/>
  <c r="H18" i="3"/>
  <c r="H17" i="3"/>
  <c r="I10" i="3"/>
  <c r="H20" i="3"/>
  <c r="H21" i="3"/>
  <c r="H19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W4" i="3" l="1"/>
  <c r="K24" i="3" s="1"/>
  <c r="G15" i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K9" i="3" l="1"/>
  <c r="K22" i="3"/>
  <c r="K14" i="3"/>
  <c r="K20" i="3"/>
  <c r="K11" i="3"/>
  <c r="K32" i="3"/>
  <c r="K17" i="3"/>
  <c r="K16" i="3"/>
  <c r="K8" i="3"/>
  <c r="K23" i="3"/>
  <c r="K18" i="3"/>
  <c r="K15" i="3"/>
  <c r="K21" i="3"/>
  <c r="K19" i="3"/>
  <c r="K28" i="3"/>
  <c r="K29" i="3"/>
  <c r="K27" i="3"/>
  <c r="K25" i="3"/>
  <c r="K26" i="3"/>
  <c r="K10" i="3"/>
  <c r="K30" i="3"/>
  <c r="K31" i="3"/>
  <c r="K12" i="3"/>
  <c r="K13" i="3"/>
  <c r="G2" i="1"/>
  <c r="D18" i="1"/>
  <c r="E18" i="1" s="1"/>
  <c r="F18" i="1" l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<sst xmlns="http://schemas.openxmlformats.org/spreadsheetml/2006/main" count="106" uniqueCount="84">
  <si>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</si>
  <si>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</si>
  <si>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</si>
  <si>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</si>
  <si>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</si>
  <si>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</si>
  <si>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</si>
  <si>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</si>
  <si>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</si>
  <si>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</si>
  <si>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</si>
  <si>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</si>
  <si>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</si>
  <si>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</si>
  <si>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</si>
  <si>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</si>
  <si>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</si>
  <si>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</si>
  <si>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</si>
  <si>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</si>
  <si>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</si>
  <si>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</si>
  <si>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</si>
  <si>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</si>
  <si>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</si>
  <si>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</si>
  <si>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</si>
  <si>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</si>
  <si>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</si>
  <si>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</si>
  <si>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</si>
  <si>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</si>
  <si>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</si>
  <si>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</si>
  <si>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</si>
  <si>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</si>
  <si>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</si>
  <si>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</si>
  <si>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</si>
  <si>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</si>
  <si>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</si>
  <si>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</si>
  <si>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</si>
  <si>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</si>
  <si>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</si>
  <si>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</si>
  <si>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</si>
  <si>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</si>
  <si>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</si>
  <si>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</si>
  <si>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</si>
  <si>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</si>
  <si>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</si>
  <si>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</si>
  <si>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</si>
  <si>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</si>
  <si>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</si>
  <si>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</si>
  <si>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</si>
  <si>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</si>
  <si>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</si>
  <si>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</si>
  <si>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</si>
  <si>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</si>
  <si>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</si>
  <si>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</si>
  <si>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</si>
  <si>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</si>
  <si>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</si>
  <si>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</si>
  <si>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</si>
  <si>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</si>
  <si>
    <t>t6</t>
  </si>
  <si>
    <t>t6E</t>
  </si>
  <si>
    <t>maxPSRpmRate</t>
  </si>
  <si>
    <t>deltaEco</t>
  </si>
  <si>
    <t>maxDeltaEco</t>
  </si>
  <si>
    <t>kW</t>
  </si>
  <si>
    <t>U/min</t>
  </si>
  <si>
    <t>Column1</t>
  </si>
  <si>
    <t>Column2</t>
  </si>
  <si>
    <t>maxPSEcoInput</t>
  </si>
  <si>
    <t>PSEcoInput</t>
  </si>
  <si>
    <t>maxTEcoInput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</si>
</sst>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6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63377788628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1" fontId="2" fillId="0" borderId="0" xfId="0" applyNumberFormat="1" applyFont="1"/>
    <xf numFmtId="0" fontId="3" fillId="2" borderId="0" xfId="0" applyFont="1" applyFill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9" fontId="4" fillId="2" borderId="9" xfId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64" fontId="0" fillId="0" borderId="0" xfId="0" applyNumberFormat="1"/>
    <xf numFmtId="0" fontId="0" fillId="0" borderId="6" xfId="0" applyBorder="1"/>
    <xf numFmtId="1" fontId="4" fillId="2" borderId="9" xfId="1" applyNumberFormat="1" applyFont="1" applyFill="1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7" fillId="0" borderId="0" xfId="0" applyNumberFormat="1" applyFont="1"/>
    <xf numFmtId="165" fontId="4" fillId="2" borderId="10" xfId="1" applyNumberFormat="1" applyFont="1" applyFill="1" applyBorder="1"/>
    <xf numFmtId="0" fontId="8" fillId="2" borderId="0" xfId="0" applyFont="1" applyFill="1"/>
    <xf numFmtId="0" fontId="10" fillId="2" borderId="13" xfId="0" applyFont="1" applyFill="1" applyBorder="1"/>
    <xf numFmtId="0" fontId="3" fillId="2" borderId="14" xfId="0" applyFont="1" applyFill="1" applyBorder="1"/>
    <xf numFmtId="0" fontId="9" fillId="5" borderId="15" xfId="0" applyFont="1" applyFill="1" applyBorder="1" applyAlignment="1">
      <alignment textRotation="45"/>
    </xf>
    <xf numFmtId="0" fontId="9" fillId="5" borderId="0" xfId="0" applyFont="1" applyFill="1" applyBorder="1" applyAlignment="1">
      <alignment textRotation="45"/>
    </xf>
    <xf numFmtId="49" fontId="9" fillId="5" borderId="0" xfId="0" applyNumberFormat="1" applyFont="1" applyFill="1" applyBorder="1" applyAlignment="1">
      <alignment textRotation="45"/>
    </xf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11" fillId="5" borderId="0" xfId="0" applyFont="1" applyFill="1" applyAlignment="1">
      <alignment textRotation="45"/>
    </xf>
    <xf numFmtId="9" fontId="0" fillId="0" borderId="0" xfId="1" applyFont="1"/>
    <xf numFmtId="9" fontId="5" fillId="0" borderId="12" xfId="1" applyFont="1" applyBorder="1"/>
    <xf numFmtId="9" fontId="0" fillId="0" borderId="12" xfId="1" applyFont="1" applyBorder="1"/>
    <xf numFmtId="0" fontId="5" fillId="0" borderId="3" xfId="0" applyFont="1" applyFill="1" applyBorder="1"/>
    <xf numFmtId="0" fontId="0" fillId="0" borderId="3" xfId="0" applyFill="1" applyBorder="1"/>
    <xf numFmtId="0" fontId="5" fillId="0" borderId="2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1" applyFont="1" applyFill="1" applyBorder="1"/>
    <xf numFmtId="0" fontId="0" fillId="6" borderId="12" xfId="0" applyFill="1" applyBorder="1"/>
    <xf numFmtId="9" fontId="0" fillId="6" borderId="1" xfId="1" applyFont="1" applyFill="1" applyBorder="1"/>
    <xf numFmtId="9" fontId="0" fillId="6" borderId="3" xfId="1" applyFont="1" applyFill="1" applyBorder="1"/>
    <xf numFmtId="1" fontId="12" fillId="0" borderId="0" xfId="0" applyNumberFormat="1" applyFont="1"/>
  </cellXfs>
  <cellStyles count="2">
    <cellStyle name="Normal" xfId="0" builtinId="0"/>
    <cellStyle name="Percent" xfId="1" builtinId="5"/>
  </cellStyles>
  <dxfs count="96">
    <dxf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45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ont>
        <i/>
        <color theme="0" tint="-0.34998626667073579"/>
      </font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color theme="0" tint="-0.34998626667073579"/>
      </font>
      <fill>
        <patternFill patternType="none">
          <fgColor indexed="64"/>
          <bgColor auto="1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Values'!$A$7:$A$66</c:f>
              <c:numCache>
                <c:formatCode>0</c:formatCode>
                <c:ptCount val="60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3750</c:v>
                </c:pt>
                <c:pt idx="39">
                  <c:v>4000</c:v>
                </c:pt>
                <c:pt idx="40">
                  <c:v>4250</c:v>
                </c:pt>
                <c:pt idx="41">
                  <c:v>4500</c:v>
                </c:pt>
                <c:pt idx="42">
                  <c:v>4750</c:v>
                </c:pt>
                <c:pt idx="43">
                  <c:v>5000</c:v>
                </c:pt>
                <c:pt idx="44">
                  <c:v>5250</c:v>
                </c:pt>
                <c:pt idx="45">
                  <c:v>5500</c:v>
                </c:pt>
                <c:pt idx="46">
                  <c:v>5750</c:v>
                </c:pt>
                <c:pt idx="47">
                  <c:v>6000</c:v>
                </c:pt>
                <c:pt idx="48">
                  <c:v>6250</c:v>
                </c:pt>
                <c:pt idx="49">
                  <c:v>6500</c:v>
                </c:pt>
                <c:pt idx="50">
                  <c:v>6750</c:v>
                </c:pt>
                <c:pt idx="51">
                  <c:v>7000</c:v>
                </c:pt>
                <c:pt idx="52">
                  <c:v>7250</c:v>
                </c:pt>
                <c:pt idx="53">
                  <c:v>7500</c:v>
                </c:pt>
                <c:pt idx="54">
                  <c:v>7750</c:v>
                </c:pt>
                <c:pt idx="55">
                  <c:v>8000</c:v>
                </c:pt>
                <c:pt idx="56">
                  <c:v>8250</c:v>
                </c:pt>
                <c:pt idx="57">
                  <c:v>8500</c:v>
                </c:pt>
                <c:pt idx="58">
                  <c:v>8750</c:v>
                </c:pt>
                <c:pt idx="59">
                  <c:v>9000</c:v>
                </c:pt>
              </c:numCache>
            </c:numRef>
          </c:xVal>
          <c:yVal>
            <c:numRef>
              <c:f>'Calculate from Values'!$F$7:$F$66</c:f>
              <c:numCache>
                <c:formatCode>0</c:formatCode>
                <c:ptCount val="60"/>
                <c:pt idx="0">
                  <c:v>0</c:v>
                </c:pt>
                <c:pt idx="1">
                  <c:v>382.98713482361688</c:v>
                </c:pt>
                <c:pt idx="2">
                  <c:v>531.72549804616858</c:v>
                </c:pt>
                <c:pt idx="3">
                  <c:v>577.93388429752065</c:v>
                </c:pt>
                <c:pt idx="4">
                  <c:v>596.67768595041321</c:v>
                </c:pt>
                <c:pt idx="5">
                  <c:v>611.25619834710744</c:v>
                </c:pt>
                <c:pt idx="6">
                  <c:v>621.66942148760324</c:v>
                </c:pt>
                <c:pt idx="7">
                  <c:v>627.91735537190084</c:v>
                </c:pt>
                <c:pt idx="8">
                  <c:v>630</c:v>
                </c:pt>
                <c:pt idx="9">
                  <c:v>618.70727554179564</c:v>
                </c:pt>
                <c:pt idx="10">
                  <c:v>603.65030959752323</c:v>
                </c:pt>
                <c:pt idx="11">
                  <c:v>584.82910216718267</c:v>
                </c:pt>
                <c:pt idx="12">
                  <c:v>562.24365325077406</c:v>
                </c:pt>
                <c:pt idx="13">
                  <c:v>549.53933823529405</c:v>
                </c:pt>
                <c:pt idx="14">
                  <c:v>535.89396284829718</c:v>
                </c:pt>
                <c:pt idx="15">
                  <c:v>521.02776206636497</c:v>
                </c:pt>
                <c:pt idx="16">
                  <c:v>504.71047794117646</c:v>
                </c:pt>
                <c:pt idx="17">
                  <c:v>487.04828730272595</c:v>
                </c:pt>
                <c:pt idx="18">
                  <c:v>468.13725490196077</c:v>
                </c:pt>
                <c:pt idx="19">
                  <c:v>425.76345385232145</c:v>
                </c:pt>
                <c:pt idx="20">
                  <c:v>273.43839265919127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209-99D6-1F31AA2D53E1}"/>
            </c:ext>
          </c:extLst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Values'!$A$7:$A$66</c:f>
              <c:numCache>
                <c:formatCode>0</c:formatCode>
                <c:ptCount val="60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3750</c:v>
                </c:pt>
                <c:pt idx="39">
                  <c:v>4000</c:v>
                </c:pt>
                <c:pt idx="40">
                  <c:v>4250</c:v>
                </c:pt>
                <c:pt idx="41">
                  <c:v>4500</c:v>
                </c:pt>
                <c:pt idx="42">
                  <c:v>4750</c:v>
                </c:pt>
                <c:pt idx="43">
                  <c:v>5000</c:v>
                </c:pt>
                <c:pt idx="44">
                  <c:v>5250</c:v>
                </c:pt>
                <c:pt idx="45">
                  <c:v>5500</c:v>
                </c:pt>
                <c:pt idx="46">
                  <c:v>5750</c:v>
                </c:pt>
                <c:pt idx="47">
                  <c:v>6000</c:v>
                </c:pt>
                <c:pt idx="48">
                  <c:v>6250</c:v>
                </c:pt>
                <c:pt idx="49">
                  <c:v>6500</c:v>
                </c:pt>
                <c:pt idx="50">
                  <c:v>6750</c:v>
                </c:pt>
                <c:pt idx="51">
                  <c:v>7000</c:v>
                </c:pt>
                <c:pt idx="52">
                  <c:v>7250</c:v>
                </c:pt>
                <c:pt idx="53">
                  <c:v>7500</c:v>
                </c:pt>
                <c:pt idx="54">
                  <c:v>7750</c:v>
                </c:pt>
                <c:pt idx="55">
                  <c:v>8000</c:v>
                </c:pt>
                <c:pt idx="56">
                  <c:v>8250</c:v>
                </c:pt>
                <c:pt idx="57">
                  <c:v>8500</c:v>
                </c:pt>
                <c:pt idx="58">
                  <c:v>8750</c:v>
                </c:pt>
                <c:pt idx="59">
                  <c:v>9000</c:v>
                </c:pt>
              </c:numCache>
            </c:numRef>
          </c:xVal>
          <c:yVal>
            <c:numRef>
              <c:f>'Calculate from Values'!$G$7:$G$66</c:f>
              <c:numCache>
                <c:formatCode>0</c:formatCode>
                <c:ptCount val="60"/>
                <c:pt idx="0">
                  <c:v>0</c:v>
                </c:pt>
                <c:pt idx="1">
                  <c:v>382.98713482361688</c:v>
                </c:pt>
                <c:pt idx="2">
                  <c:v>531.72549804616858</c:v>
                </c:pt>
                <c:pt idx="3">
                  <c:v>577.93388429752065</c:v>
                </c:pt>
                <c:pt idx="4">
                  <c:v>596.67768595041321</c:v>
                </c:pt>
                <c:pt idx="5">
                  <c:v>611.25619834710744</c:v>
                </c:pt>
                <c:pt idx="6">
                  <c:v>621.66942148760324</c:v>
                </c:pt>
                <c:pt idx="7">
                  <c:v>627.91735537190084</c:v>
                </c:pt>
                <c:pt idx="8">
                  <c:v>630</c:v>
                </c:pt>
                <c:pt idx="9">
                  <c:v>618.70727554179564</c:v>
                </c:pt>
                <c:pt idx="10">
                  <c:v>603.65030959752323</c:v>
                </c:pt>
                <c:pt idx="11">
                  <c:v>584.82910216718267</c:v>
                </c:pt>
                <c:pt idx="12">
                  <c:v>562.24365325077406</c:v>
                </c:pt>
                <c:pt idx="13">
                  <c:v>549.53933823529405</c:v>
                </c:pt>
                <c:pt idx="14">
                  <c:v>535.89396284829718</c:v>
                </c:pt>
                <c:pt idx="15">
                  <c:v>521.02776206636497</c:v>
                </c:pt>
                <c:pt idx="16">
                  <c:v>504.71047794117646</c:v>
                </c:pt>
                <c:pt idx="17">
                  <c:v>487.04828730272595</c:v>
                </c:pt>
                <c:pt idx="18">
                  <c:v>468.13725490196077</c:v>
                </c:pt>
                <c:pt idx="19">
                  <c:v>425.76345385232145</c:v>
                </c:pt>
                <c:pt idx="20">
                  <c:v>273.43839265919127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5736"/>
        <c:axId val="521869856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Values'!$A$7:$A$66</c:f>
              <c:numCache>
                <c:formatCode>0</c:formatCode>
                <c:ptCount val="60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3750</c:v>
                </c:pt>
                <c:pt idx="39">
                  <c:v>4000</c:v>
                </c:pt>
                <c:pt idx="40">
                  <c:v>4250</c:v>
                </c:pt>
                <c:pt idx="41">
                  <c:v>4500</c:v>
                </c:pt>
                <c:pt idx="42">
                  <c:v>4750</c:v>
                </c:pt>
                <c:pt idx="43">
                  <c:v>5000</c:v>
                </c:pt>
                <c:pt idx="44">
                  <c:v>5250</c:v>
                </c:pt>
                <c:pt idx="45">
                  <c:v>5500</c:v>
                </c:pt>
                <c:pt idx="46">
                  <c:v>5750</c:v>
                </c:pt>
                <c:pt idx="47">
                  <c:v>6000</c:v>
                </c:pt>
                <c:pt idx="48">
                  <c:v>6250</c:v>
                </c:pt>
                <c:pt idx="49">
                  <c:v>6500</c:v>
                </c:pt>
                <c:pt idx="50">
                  <c:v>6750</c:v>
                </c:pt>
                <c:pt idx="51">
                  <c:v>7000</c:v>
                </c:pt>
                <c:pt idx="52">
                  <c:v>7250</c:v>
                </c:pt>
                <c:pt idx="53">
                  <c:v>7500</c:v>
                </c:pt>
                <c:pt idx="54">
                  <c:v>7750</c:v>
                </c:pt>
                <c:pt idx="55">
                  <c:v>8000</c:v>
                </c:pt>
                <c:pt idx="56">
                  <c:v>8250</c:v>
                </c:pt>
                <c:pt idx="57">
                  <c:v>8500</c:v>
                </c:pt>
                <c:pt idx="58">
                  <c:v>8750</c:v>
                </c:pt>
                <c:pt idx="59">
                  <c:v>9000</c:v>
                </c:pt>
              </c:numCache>
            </c:numRef>
          </c:xVal>
          <c:yVal>
            <c:numRef>
              <c:f>'Calculate from Values'!$H$7:$H$66</c:f>
              <c:numCache>
                <c:formatCode>0.0</c:formatCode>
                <c:ptCount val="60"/>
                <c:pt idx="0">
                  <c:v>0</c:v>
                </c:pt>
                <c:pt idx="1">
                  <c:v>19.089201693826354</c:v>
                </c:pt>
                <c:pt idx="2">
                  <c:v>53.005515616748959</c:v>
                </c:pt>
                <c:pt idx="3">
                  <c:v>74.072363809441399</c:v>
                </c:pt>
                <c:pt idx="4">
                  <c:v>84.971900826446287</c:v>
                </c:pt>
                <c:pt idx="5">
                  <c:v>95.75280342693955</c:v>
                </c:pt>
                <c:pt idx="6">
                  <c:v>106.23711998615379</c:v>
                </c:pt>
                <c:pt idx="7">
                  <c:v>116.24689887932155</c:v>
                </c:pt>
                <c:pt idx="8">
                  <c:v>125.60418848167542</c:v>
                </c:pt>
                <c:pt idx="9">
                  <c:v>132.16364838798566</c:v>
                </c:pt>
                <c:pt idx="10">
                  <c:v>137.543777349132</c:v>
                </c:pt>
                <c:pt idx="11">
                  <c:v>141.58375750895561</c:v>
                </c:pt>
                <c:pt idx="12">
                  <c:v>144.12277101129789</c:v>
                </c:pt>
                <c:pt idx="13">
                  <c:v>144.77915968586385</c:v>
                </c:pt>
                <c:pt idx="14">
                  <c:v>145</c:v>
                </c:pt>
                <c:pt idx="15">
                  <c:v>144.6875</c:v>
                </c:pt>
                <c:pt idx="16">
                  <c:v>143.75</c:v>
                </c:pt>
                <c:pt idx="17">
                  <c:v>142.1875</c:v>
                </c:pt>
                <c:pt idx="18">
                  <c:v>140</c:v>
                </c:pt>
                <c:pt idx="19">
                  <c:v>130.35940723185212</c:v>
                </c:pt>
                <c:pt idx="20" formatCode="0">
                  <c:v>85.667818935738239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4-4209-99D6-1F31AA2D53E1}"/>
            </c:ext>
          </c:extLst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Values'!$A$7:$A$66</c:f>
              <c:numCache>
                <c:formatCode>0</c:formatCode>
                <c:ptCount val="60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3750</c:v>
                </c:pt>
                <c:pt idx="39">
                  <c:v>4000</c:v>
                </c:pt>
                <c:pt idx="40">
                  <c:v>4250</c:v>
                </c:pt>
                <c:pt idx="41">
                  <c:v>4500</c:v>
                </c:pt>
                <c:pt idx="42">
                  <c:v>4750</c:v>
                </c:pt>
                <c:pt idx="43">
                  <c:v>5000</c:v>
                </c:pt>
                <c:pt idx="44">
                  <c:v>5250</c:v>
                </c:pt>
                <c:pt idx="45">
                  <c:v>5500</c:v>
                </c:pt>
                <c:pt idx="46">
                  <c:v>5750</c:v>
                </c:pt>
                <c:pt idx="47">
                  <c:v>6000</c:v>
                </c:pt>
                <c:pt idx="48">
                  <c:v>6250</c:v>
                </c:pt>
                <c:pt idx="49">
                  <c:v>6500</c:v>
                </c:pt>
                <c:pt idx="50">
                  <c:v>6750</c:v>
                </c:pt>
                <c:pt idx="51">
                  <c:v>7000</c:v>
                </c:pt>
                <c:pt idx="52">
                  <c:v>7250</c:v>
                </c:pt>
                <c:pt idx="53">
                  <c:v>7500</c:v>
                </c:pt>
                <c:pt idx="54">
                  <c:v>7750</c:v>
                </c:pt>
                <c:pt idx="55">
                  <c:v>8000</c:v>
                </c:pt>
                <c:pt idx="56">
                  <c:v>8250</c:v>
                </c:pt>
                <c:pt idx="57">
                  <c:v>8500</c:v>
                </c:pt>
                <c:pt idx="58">
                  <c:v>8750</c:v>
                </c:pt>
                <c:pt idx="59">
                  <c:v>9000</c:v>
                </c:pt>
              </c:numCache>
            </c:numRef>
          </c:xVal>
          <c:yVal>
            <c:numRef>
              <c:f>'Calculate from Values'!$I$7:$I$66</c:f>
              <c:numCache>
                <c:formatCode>0.0</c:formatCode>
                <c:ptCount val="60"/>
                <c:pt idx="0">
                  <c:v>0</c:v>
                </c:pt>
                <c:pt idx="1">
                  <c:v>19.089201693826354</c:v>
                </c:pt>
                <c:pt idx="2">
                  <c:v>53.005515616748959</c:v>
                </c:pt>
                <c:pt idx="3">
                  <c:v>74.072363809441399</c:v>
                </c:pt>
                <c:pt idx="4">
                  <c:v>84.971900826446287</c:v>
                </c:pt>
                <c:pt idx="5">
                  <c:v>95.75280342693955</c:v>
                </c:pt>
                <c:pt idx="6">
                  <c:v>106.23711998615379</c:v>
                </c:pt>
                <c:pt idx="7">
                  <c:v>116.24689887932155</c:v>
                </c:pt>
                <c:pt idx="8">
                  <c:v>125.60418848167542</c:v>
                </c:pt>
                <c:pt idx="9">
                  <c:v>132.16364838798566</c:v>
                </c:pt>
                <c:pt idx="10">
                  <c:v>137.543777349132</c:v>
                </c:pt>
                <c:pt idx="11">
                  <c:v>141.58375750895561</c:v>
                </c:pt>
                <c:pt idx="12">
                  <c:v>144.12277101129789</c:v>
                </c:pt>
                <c:pt idx="13">
                  <c:v>144.77915968586385</c:v>
                </c:pt>
                <c:pt idx="14">
                  <c:v>145</c:v>
                </c:pt>
                <c:pt idx="15">
                  <c:v>144.6875</c:v>
                </c:pt>
                <c:pt idx="16">
                  <c:v>143.75</c:v>
                </c:pt>
                <c:pt idx="17">
                  <c:v>142.1875</c:v>
                </c:pt>
                <c:pt idx="18">
                  <c:v>140</c:v>
                </c:pt>
                <c:pt idx="19">
                  <c:v>130.35940723185212</c:v>
                </c:pt>
                <c:pt idx="20" formatCode="0">
                  <c:v>85.667818935738239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560"/>
        <c:axId val="521866720"/>
      </c:scatterChart>
      <c:valAx>
        <c:axId val="521875736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9856"/>
        <c:crosses val="autoZero"/>
        <c:crossBetween val="midCat"/>
        <c:majorUnit val="250"/>
      </c:valAx>
      <c:valAx>
        <c:axId val="5218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5736"/>
        <c:crosses val="autoZero"/>
        <c:crossBetween val="midCat"/>
      </c:valAx>
      <c:valAx>
        <c:axId val="5218667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4560"/>
        <c:crosses val="max"/>
        <c:crossBetween val="midCat"/>
      </c:valAx>
      <c:valAx>
        <c:axId val="5218745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21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Values'!$A$7:$A$66</c:f>
              <c:numCache>
                <c:formatCode>0</c:formatCode>
                <c:ptCount val="60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3750</c:v>
                </c:pt>
                <c:pt idx="39">
                  <c:v>4000</c:v>
                </c:pt>
                <c:pt idx="40">
                  <c:v>4250</c:v>
                </c:pt>
                <c:pt idx="41">
                  <c:v>4500</c:v>
                </c:pt>
                <c:pt idx="42">
                  <c:v>4750</c:v>
                </c:pt>
                <c:pt idx="43">
                  <c:v>5000</c:v>
                </c:pt>
                <c:pt idx="44">
                  <c:v>5250</c:v>
                </c:pt>
                <c:pt idx="45">
                  <c:v>5500</c:v>
                </c:pt>
                <c:pt idx="46">
                  <c:v>5750</c:v>
                </c:pt>
                <c:pt idx="47">
                  <c:v>6000</c:v>
                </c:pt>
                <c:pt idx="48">
                  <c:v>6250</c:v>
                </c:pt>
                <c:pt idx="49">
                  <c:v>6500</c:v>
                </c:pt>
                <c:pt idx="50">
                  <c:v>6750</c:v>
                </c:pt>
                <c:pt idx="51">
                  <c:v>7000</c:v>
                </c:pt>
                <c:pt idx="52">
                  <c:v>7250</c:v>
                </c:pt>
                <c:pt idx="53">
                  <c:v>7500</c:v>
                </c:pt>
                <c:pt idx="54">
                  <c:v>7750</c:v>
                </c:pt>
                <c:pt idx="55">
                  <c:v>8000</c:v>
                </c:pt>
                <c:pt idx="56">
                  <c:v>8250</c:v>
                </c:pt>
                <c:pt idx="57">
                  <c:v>8500</c:v>
                </c:pt>
                <c:pt idx="58">
                  <c:v>8750</c:v>
                </c:pt>
                <c:pt idx="59">
                  <c:v>9000</c:v>
                </c:pt>
              </c:numCache>
            </c:numRef>
          </c:xVal>
          <c:yVal>
            <c:numRef>
              <c:f>'Calculate from Values'!$J$7:$J$66</c:f>
              <c:numCache>
                <c:formatCode>0.0</c:formatCode>
                <c:ptCount val="60"/>
                <c:pt idx="0">
                  <c:v>387.05971277399829</c:v>
                </c:pt>
                <c:pt idx="1">
                  <c:v>294.36130007558575</c:v>
                </c:pt>
                <c:pt idx="2">
                  <c:v>231.29251700680268</c:v>
                </c:pt>
                <c:pt idx="3">
                  <c:v>208.55631141345427</c:v>
                </c:pt>
                <c:pt idx="4">
                  <c:v>200.81632653061223</c:v>
                </c:pt>
                <c:pt idx="5">
                  <c:v>195.49508692365836</c:v>
                </c:pt>
                <c:pt idx="6">
                  <c:v>192.59259259259258</c:v>
                </c:pt>
                <c:pt idx="7">
                  <c:v>192.02787051821744</c:v>
                </c:pt>
                <c:pt idx="8">
                  <c:v>192.52334639763876</c:v>
                </c:pt>
                <c:pt idx="9">
                  <c:v>193.63816712633667</c:v>
                </c:pt>
                <c:pt idx="10">
                  <c:v>195.37233270431122</c:v>
                </c:pt>
                <c:pt idx="11">
                  <c:v>197.72584313156239</c:v>
                </c:pt>
                <c:pt idx="12">
                  <c:v>200.69869840809019</c:v>
                </c:pt>
                <c:pt idx="13">
                  <c:v>202.41738036483281</c:v>
                </c:pt>
                <c:pt idx="14">
                  <c:v>204.29089853389459</c:v>
                </c:pt>
                <c:pt idx="15">
                  <c:v>206.31925291527554</c:v>
                </c:pt>
                <c:pt idx="16">
                  <c:v>208.50244350897566</c:v>
                </c:pt>
                <c:pt idx="17">
                  <c:v>210.84047031499489</c:v>
                </c:pt>
                <c:pt idx="18">
                  <c:v>213.33333333333331</c:v>
                </c:pt>
                <c:pt idx="19">
                  <c:v>274.90862691415748</c:v>
                </c:pt>
                <c:pt idx="20">
                  <c:v>438.00742977297227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9-408D-970D-3BBE94E1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168"/>
        <c:axId val="521876520"/>
      </c:scatterChart>
      <c:valAx>
        <c:axId val="521874168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6520"/>
        <c:crosses val="autoZero"/>
        <c:crossBetween val="midCat"/>
        <c:majorUnit val="250"/>
      </c:valAx>
      <c:valAx>
        <c:axId val="521876520"/>
        <c:scaling>
          <c:orientation val="minMax"/>
          <c:max val="32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416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7-4293-A875-F76E589B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208"/>
        <c:axId val="521874952"/>
      </c:scatterChart>
      <c:valAx>
        <c:axId val="521872208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4952"/>
        <c:crosses val="autoZero"/>
        <c:crossBetween val="midCat"/>
      </c:valAx>
      <c:valAx>
        <c:axId val="5218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0</c:v>
                </c:pt>
                <c:pt idx="1">
                  <c:v>1421.4653361344538</c:v>
                </c:pt>
                <c:pt idx="2">
                  <c:v>1538</c:v>
                </c:pt>
                <c:pt idx="3">
                  <c:v>1538</c:v>
                </c:pt>
                <c:pt idx="4">
                  <c:v>1463.5448916408668</c:v>
                </c:pt>
                <c:pt idx="5">
                  <c:v>1304.0966386554621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1-40BF-8EFC-B6646375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600"/>
        <c:axId val="521869464"/>
      </c:scatterChart>
      <c:valAx>
        <c:axId val="5218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9464"/>
        <c:crosses val="autoZero"/>
        <c:crossBetween val="midCat"/>
      </c:valAx>
      <c:valAx>
        <c:axId val="5218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148.84453781512605</c:v>
                </c:pt>
                <c:pt idx="2">
                  <c:v>233.51832460732984</c:v>
                </c:pt>
                <c:pt idx="3">
                  <c:v>233.51832460732984</c:v>
                </c:pt>
                <c:pt idx="4">
                  <c:v>291.17647058823525</c:v>
                </c:pt>
                <c:pt idx="5">
                  <c:v>286.76470588235293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4-40FA-99A4-5F62EAE0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69072"/>
        <c:axId val="521871816"/>
      </c:scatterChart>
      <c:valAx>
        <c:axId val="5218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1816"/>
        <c:crosses val="autoZero"/>
        <c:crossBetween val="midCat"/>
      </c:valAx>
      <c:valAx>
        <c:axId val="5218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4</xdr:row>
      <xdr:rowOff>0</xdr:rowOff>
    </xdr:from>
    <xdr:to>
      <xdr:col>67</xdr:col>
      <xdr:colOff>171449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27</xdr:row>
      <xdr:rowOff>28576</xdr:rowOff>
    </xdr:from>
    <xdr:to>
      <xdr:col>65</xdr:col>
      <xdr:colOff>276226</xdr:colOff>
      <xdr:row>47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12</xdr:row>
      <xdr:rowOff>114300</xdr:rowOff>
    </xdr:from>
    <xdr:to>
      <xdr:col>17</xdr:col>
      <xdr:colOff>338137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185737</xdr:colOff>
      <xdr:row>0</xdr:row>
      <xdr:rowOff>771525</xdr:rowOff>
    </xdr:from>
    <xdr:to>
      <xdr:col>23</xdr:col>
      <xdr:colOff>423862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6:Y66" totalsRowShown="0" headerRowDxfId="95" dataDxfId="94">
  <tableColumns count="25">
    <tableColumn id="1" xr3:uid="{00000000-0010-0000-0000-000001000000}" name="rpm" dataDxfId="93"/>
    <tableColumn id="7" xr3:uid="{00000000-0010-0000-0000-000007000000}" name="rawData" dataDxfId="92">
      <calculatedColumnFormula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xr3:uid="{00000000-0010-0000-0000-000009000000}" name="manualData" dataDxfId="91"/>
    <tableColumn id="12" xr3:uid="{00000000-0010-0000-0000-00000C000000}" name="rawDataEco" dataDxfId="90">
      <calculatedColumnFormula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xr3:uid="{00000000-0010-0000-0000-00000B000000}" name="manDataEco" dataDxfId="89"/>
    <tableColumn id="4" xr3:uid="{00000000-0010-0000-0000-000004000000}" name="motor" dataDxfId="88">
      <calculatedColumnFormula>Table36[Factor]*IF(Table15[[#This Row],[manualData]]&gt;0,Table15[[#This Row],[manualData]],Table15[[#This Row],[rawData]])</calculatedColumnFormula>
    </tableColumn>
    <tableColumn id="14" xr3:uid="{00000000-0010-0000-0000-00000E000000}" name="motorEco" dataDxfId="87">
      <calculatedColumnFormula>Table36[Factor]*IF(Table15[[#This Row],[manDataEco]]&gt;0,Table15[[#This Row],[manDataEco]],Table15[[#This Row],[rawDataEco]])</calculatedColumnFormula>
    </tableColumn>
    <tableColumn id="3" xr3:uid="{00000000-0010-0000-0000-000003000000}" name="ps" dataDxfId="86">
      <calculatedColumnFormula>1.36*Table15[[#This Row],[rpm]]*Table15[[#This Row],[motor]]/9550</calculatedColumnFormula>
    </tableColumn>
    <tableColumn id="13" xr3:uid="{00000000-0010-0000-0000-00000D000000}" name="psEco" dataDxfId="85">
      <calculatedColumnFormula>1.36*Table15[[#This Row],[rpm]]*Table15[[#This Row],[motorEco]]/9550</calculatedColumnFormula>
    </tableColumn>
    <tableColumn id="10" xr3:uid="{00000000-0010-0000-0000-00000A000000}" name="fuelUsageRatio" dataDxfId="84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calculatedColumnFormula>
    </tableColumn>
    <tableColumn id="5" xr3:uid="{00000000-0010-0000-0000-000005000000}" name="xml" dataDxfId="83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xr3:uid="{00000000-0010-0000-0000-000008000000}" name="xml2" dataDxfId="82">
      <calculatedColumnFormula>IF(Table15[[#This Row],[rpm]]&lt;1,Table7[xmlComment],IF(A6&gt;Table36[normRpm],"",IF(Table15[[#This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calculatedColumnFormula>
    </tableColumn>
    <tableColumn id="15" xr3:uid="{00000000-0010-0000-0000-00000F000000}" name="t1" dataDxfId="81">
      <calculatedColumnFormula>(1-(1-Table15[[#This Row],[rpm]]/Table36[idleRpm])^2)*Table7[idleT]</calculatedColumnFormula>
    </tableColumn>
    <tableColumn id="18" xr3:uid="{00000000-0010-0000-0000-000012000000}" name="t2" dataDxfId="80">
      <calculatedColumnFormula>MAX(0,(1-Table7[f1]*(Table36[maxTRpm1]-Table15[[#This Row],[rpm]])^2)*Table36[maxT])</calculatedColumnFormula>
    </tableColumn>
    <tableColumn id="19" xr3:uid="{00000000-0010-0000-0000-000013000000}" name="t3" dataDxfId="79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xr3:uid="{00000000-0010-0000-0000-000010000000}" name="t4" dataDxfId="78">
      <calculatedColumnFormula>MAX(0,(Table36[maxPS]-Table7[f4]*(Table15[[#This Row],[rpm]]-Table36[maxPRpm])^2)/1.36*9550/MAX(1,Table15[[#This Row],[rpm]]))</calculatedColumnFormula>
    </tableColumn>
    <tableColumn id="17" xr3:uid="{00000000-0010-0000-0000-000011000000}" name="t5" dataDxfId="77">
      <calculatedColumnFormula>MAX(0,Table7[Nm2]*MIN(Table36[ratedRpm]/MAX(1,Table15[[#This Row],[rpm]]),1-(MAX(0,Table15[[#This Row],[rpm]]-Table36[ratedRpm])/Table36[fadeOut])^Table36[fadeOutExp]))</calculatedColumnFormula>
    </tableColumn>
    <tableColumn id="21" xr3:uid="{00000000-0010-0000-0000-000015000000}" name="t1E" dataDxfId="76">
      <calculatedColumnFormula>(1-(1-Table15[[#This Row],[rpm]]/Table36[idleRpm])^2)*Table7[idleTEco]</calculatedColumnFormula>
    </tableColumn>
    <tableColumn id="22" xr3:uid="{00000000-0010-0000-0000-000016000000}" name="t2E" dataDxfId="75">
      <calculatedColumnFormula>MAX(0,(1-Table7[f1]*(Table36[maxTRpm1]-Table15[[#This Row],[rpm]])^2)*Table36[maxTEco])</calculatedColumnFormula>
    </tableColumn>
    <tableColumn id="23" xr3:uid="{00000000-0010-0000-0000-000017000000}" name="t3E" dataDxfId="74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xr3:uid="{00000000-0010-0000-0000-000018000000}" name="t4E" dataDxfId="73">
      <calculatedColumnFormula>MAX(0,(Table36[maxPSEco]-Table7[f4Eco]*(Table15[[#This Row],[rpm]]-Table36[maxPRpm])^2)/1.36*9550/MAX(1,Table15[[#This Row],[rpm]]))</calculatedColumnFormula>
    </tableColumn>
    <tableColumn id="25" xr3:uid="{00000000-0010-0000-0000-000019000000}" name="t5E" dataDxfId="72">
      <calculatedColumnFormula>MAX(0,Table7[Nm2Eco]*MIN(Table36[ratedRpm]/MAX(1,Table15[[#This Row],[rpm]]),1-(MAX(0,Table15[[#This Row],[rpm]]-Table36[ratedRpm])/Table36[fadeOut])^Table36[fadeOutExp]))</calculatedColumnFormula>
    </tableColumn>
    <tableColumn id="2" xr3:uid="{00000000-0010-0000-0000-000002000000}" name="t6" dataDxfId="71">
      <calculatedColumnFormula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calculatedColumnFormula>
    </tableColumn>
    <tableColumn id="6" xr3:uid="{00000000-0010-0000-0000-000006000000}" name="t6E" dataDxfId="70"/>
    <tableColumn id="20" xr3:uid="{00000000-0010-0000-0000-000014000000}" name="deltaEco" dataDxfId="69">
      <calculatedColumnFormula>ABS(Table15[[#This Row],[motor]]-Table15[[#This Row],[motorEco]])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36" displayName="Table36" ref="A1:AC2" totalsRowShown="0" headerRowDxfId="68">
  <autoFilter ref="A1:AC2" xr:uid="{00000000-0009-0000-0100-000005000000}">
    <filterColumn colId="0" hiddenButton="1"/>
    <filterColumn colId="1" hiddenButton="1"/>
    <filterColumn colId="3" hiddenButton="1"/>
    <filterColumn colId="4" hiddenButton="1"/>
    <filterColumn colId="5" hiddenButton="1"/>
    <filterColumn colId="7" hiddenButton="1"/>
    <filterColumn colId="8" hiddenButton="1"/>
    <filterColumn colId="9" hiddenButton="1"/>
    <filterColumn colId="10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9">
    <tableColumn id="10" xr3:uid="{00000000-0010-0000-0100-00000A000000}" name="maxPRpm" dataDxfId="67"/>
    <tableColumn id="14" xr3:uid="{00000000-0010-0000-0100-00000E000000}" name="maxPS" dataDxfId="66"/>
    <tableColumn id="27" xr3:uid="{00000000-0010-0000-0100-00001B000000}" name="maxPSEcoInput" dataDxfId="65"/>
    <tableColumn id="19" xr3:uid="{00000000-0010-0000-0100-000013000000}" name="maxPSEco" dataDxfId="64">
      <calculatedColumnFormula>IF(Table36[maxPSEcoInput]&gt;0,Table36[maxPSEcoInput],Table36[maxPS]*Table36[maxPsEcoRate])</calculatedColumnFormula>
    </tableColumn>
    <tableColumn id="2" xr3:uid="{00000000-0010-0000-0100-000002000000}" name="ratedRpm" dataDxfId="63"/>
    <tableColumn id="3" xr3:uid="{00000000-0010-0000-0100-000003000000}" name="PS" dataDxfId="62"/>
    <tableColumn id="28" xr3:uid="{00000000-0010-0000-0100-00001C000000}" name="PSEcoInput" dataDxfId="61"/>
    <tableColumn id="20" xr3:uid="{00000000-0010-0000-0100-000014000000}" name="PSEco" dataDxfId="60">
      <calculatedColumnFormula>IF(Table36[PSEcoInput]&gt;0,Table36[PSEcoInput],Table36[PS]*Table36[PSEcoRate])</calculatedColumnFormula>
    </tableColumn>
    <tableColumn id="12" xr3:uid="{00000000-0010-0000-0100-00000C000000}" name="maxTRpm1" dataDxfId="59"/>
    <tableColumn id="4" xr3:uid="{00000000-0010-0000-0100-000004000000}" name="maxTRpm" dataDxfId="58"/>
    <tableColumn id="5" xr3:uid="{00000000-0010-0000-0100-000005000000}" name="maxT" dataDxfId="57"/>
    <tableColumn id="29" xr3:uid="{00000000-0010-0000-0100-00001D000000}" name="maxTEcoInput" dataDxfId="56"/>
    <tableColumn id="21" xr3:uid="{00000000-0010-0000-0100-000015000000}" name="maxTEco" dataDxfId="55">
      <calculatedColumnFormula>IF(Table36[maxTEcoInput]&gt;0,Table36[maxTEcoInput],Table36[maxT]*Table36[NmEcoRate])</calculatedColumnFormula>
    </tableColumn>
    <tableColumn id="6" xr3:uid="{00000000-0010-0000-0100-000006000000}" name="idleRpm" dataDxfId="54"/>
    <tableColumn id="7" xr3:uid="{00000000-0010-0000-0100-000007000000}" name="idleRatio" dataDxfId="53" dataCellStyle="Percent"/>
    <tableColumn id="11" xr3:uid="{00000000-0010-0000-0100-00000B000000}" name="fadeOut" dataDxfId="52"/>
    <tableColumn id="15" xr3:uid="{00000000-0010-0000-0100-00000F000000}" name="linearDown" dataDxfId="51"/>
    <tableColumn id="25" xr3:uid="{00000000-0010-0000-0100-000019000000}" name="fadeOutExp" dataDxfId="50">
      <calculatedColumnFormula>IF(Table36[fadeOut]&lt;100,3,IF(Table36[fadeOut]&lt;150,2.2,IF(Table36[fadeOut]&lt;200,2,1.7)))</calculatedColumnFormula>
    </tableColumn>
    <tableColumn id="22" xr3:uid="{00000000-0010-0000-0100-000016000000}" name="Efficiency" dataDxfId="49" dataCellStyle="Percent"/>
    <tableColumn id="16" xr3:uid="{00000000-0010-0000-0100-000010000000}" name="Factor" dataDxfId="48"/>
    <tableColumn id="13" xr3:uid="{00000000-0010-0000-0100-00000D000000}" name="fuelMinRate" dataDxfId="47"/>
    <tableColumn id="18" xr3:uid="{00000000-0010-0000-0100-000012000000}" name="fuelRatedRate" dataDxfId="46">
      <calculatedColumnFormula>Table36[fuelMinRate]/0.9</calculatedColumnFormula>
    </tableColumn>
    <tableColumn id="9" xr3:uid="{00000000-0010-0000-0100-000009000000}" name="fuelMinRpm" dataDxfId="45"/>
    <tableColumn id="17" xr3:uid="{00000000-0010-0000-0100-000011000000}" name="fuelIdleRate" dataDxfId="44">
      <calculatedColumnFormula>Table36[fuelRatedRate]</calculatedColumnFormula>
    </tableColumn>
    <tableColumn id="1" xr3:uid="{00000000-0010-0000-0100-000001000000}" name="normRpm" dataDxfId="43">
      <calculatedColumnFormula>ROUND(Table36[ratedRpm]+0.49*Table36[fadeOut],-2)</calculatedColumnFormula>
    </tableColumn>
    <tableColumn id="8" xr3:uid="{00000000-0010-0000-0100-000008000000}" name="PSEcoRate" dataDxfId="42" dataCellStyle="Percent"/>
    <tableColumn id="23" xr3:uid="{00000000-0010-0000-0100-000017000000}" name="NmEcoRate" dataDxfId="41" dataCellStyle="Percent"/>
    <tableColumn id="24" xr3:uid="{00000000-0010-0000-0100-000018000000}" name="maxPsEcoRate" dataDxfId="40" dataCellStyle="Percent">
      <calculatedColumnFormula>Table36[PSEcoRate]* (Table36[maxPRpm]-Table36[maxTRpm])/(Table36[ratedRpm]-Table36[maxTRpm]) + Table36[NmEcoRate]* (1- (Table36[maxPRpm]-Table36[maxTRpm])/(Table36[ratedRpm]-Table36[maxTRpm]))</calculatedColumnFormula>
    </tableColumn>
    <tableColumn id="26" xr3:uid="{00000000-0010-0000-0100-00001A000000}" name="maxPSRpmRate" dataDxfId="39" dataCellStyle="Perce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3:W4" totalsRowShown="0" headerRowDxfId="38" dataDxfId="37">
  <tableColumns count="23">
    <tableColumn id="1" xr3:uid="{00000000-0010-0000-0200-000001000000}" name="f1" dataDxfId="36">
      <calculatedColumnFormula>(1-Table36[idleRatio])/((Table36[maxTRpm1]-Table36[idleRpm])^2)</calculatedColumnFormula>
    </tableColumn>
    <tableColumn id="2" xr3:uid="{00000000-0010-0000-0200-000002000000}" name="f2" dataDxfId="35">
      <calculatedColumnFormula>(Table36[maxT]-Table7[Nm])/Table36[maxT]/(Table36[maxPRpm]-Table36[maxTRpm])</calculatedColumnFormula>
    </tableColumn>
    <tableColumn id="5" xr3:uid="{00000000-0010-0000-0200-000005000000}" name="f3" dataDxfId="34">
      <calculatedColumnFormula>(Table36[maxT]-Table7[Nm])/Table36[maxT]/(Table36[maxPRpm]-Table36[maxTRpm])^2</calculatedColumnFormula>
    </tableColumn>
    <tableColumn id="6" xr3:uid="{00000000-0010-0000-0200-000006000000}" name="f4" dataDxfId="33">
      <calculatedColumnFormula>(Table36[maxPS]-Table36[PS])/MAX(1,Table36[ratedRpm]-Table36[maxPRpm])^2</calculatedColumnFormula>
    </tableColumn>
    <tableColumn id="3" xr3:uid="{00000000-0010-0000-0200-000003000000}" name="Nm" dataDxfId="32">
      <calculatedColumnFormula>Table36[maxPS]/1.36*9550/Table36[maxPRpm]</calculatedColumnFormula>
    </tableColumn>
    <tableColumn id="4" xr3:uid="{00000000-0010-0000-0200-000004000000}" name="Nm2" dataDxfId="31">
      <calculatedColumnFormula>Table36[PS]/1.36*9550/Table36[ratedRpm]</calculatedColumnFormula>
    </tableColumn>
    <tableColumn id="7" xr3:uid="{00000000-0010-0000-0200-000007000000}" name="Anfahrmoment" dataDxfId="30" dataCellStyle="Percent">
      <calculatedColumnFormula>Table7[Nm1000]/Table7[Nm2]</calculatedColumnFormula>
    </tableColumn>
    <tableColumn id="17" xr3:uid="{00000000-0010-0000-0200-000011000000}" name="AnstiegE" dataDxfId="29" dataCellStyle="Percent">
      <calculatedColumnFormula>Table36[maxTEco]/Table7[Nm2Eco]-1</calculatedColumnFormula>
    </tableColumn>
    <tableColumn id="14" xr3:uid="{00000000-0010-0000-0200-00000E000000}" name="Anstieg" dataDxfId="28" dataCellStyle="Percent">
      <calculatedColumnFormula>Table36[maxT]/Table7[Nm2]-1</calculatedColumnFormula>
    </tableColumn>
    <tableColumn id="15" xr3:uid="{00000000-0010-0000-0200-00000F000000}" name="Abfall" dataDxfId="27" dataCellStyle="Percent">
      <calculatedColumnFormula>1-Table36[maxTRpm]/Table36[ratedRpm]</calculatedColumnFormula>
    </tableColumn>
    <tableColumn id="20" xr3:uid="{00000000-0010-0000-0200-000014000000}" name="max kW" dataDxfId="26" dataCellStyle="Percent">
      <calculatedColumnFormula>Table36[maxPS]/1.36</calculatedColumnFormula>
    </tableColumn>
    <tableColumn id="18" xr3:uid="{00000000-0010-0000-0200-000012000000}" name="rated kW" dataDxfId="25" dataCellStyle="Percent">
      <calculatedColumnFormula>Table36[PS]/1.36</calculatedColumnFormula>
    </tableColumn>
    <tableColumn id="23" xr3:uid="{00000000-0010-0000-0200-000017000000}" name="max g/kWh" dataDxfId="24" dataCellStyle="Percent">
      <calculatedColumnFormula>Table36[fuelRatedRate]*1.1</calculatedColumnFormula>
    </tableColumn>
    <tableColumn id="16" xr3:uid="{00000000-0010-0000-0200-000010000000}" name="Nm1000" dataDxfId="23" dataCellStyle="Percent">
      <calculatedColumnFormula>(1-Table7[f1]*(Table36[maxTRpm1]-1000)^2)*Table36[maxTEco]</calculatedColumnFormula>
    </tableColumn>
    <tableColumn id="8" xr3:uid="{00000000-0010-0000-0200-000008000000}" name="NmEco" dataDxfId="22">
      <calculatedColumnFormula>Table36[maxPSEco]/1.36*9550/Table36[maxPRpm]</calculatedColumnFormula>
    </tableColumn>
    <tableColumn id="9" xr3:uid="{00000000-0010-0000-0200-000009000000}" name="Nm2Eco" dataDxfId="21">
      <calculatedColumnFormula>Table36[PSEco]/1.36*9550/Table36[ratedRpm]</calculatedColumnFormula>
    </tableColumn>
    <tableColumn id="12" xr3:uid="{00000000-0010-0000-0200-00000C000000}" name="f2Eco" dataDxfId="20">
      <calculatedColumnFormula>(Table36[maxTEco]-Table7[NmEco])/Table36[maxTEco]/(Table36[maxPRpm]-Table36[maxTRpm])</calculatedColumnFormula>
    </tableColumn>
    <tableColumn id="10" xr3:uid="{00000000-0010-0000-0200-00000A000000}" name="f3Eco" dataDxfId="19">
      <calculatedColumnFormula>(Table36[maxTEco]-Table7[NmEco])/Table36[maxTEco]/(Table36[maxPRpm]-Table36[maxTRpm])^2</calculatedColumnFormula>
    </tableColumn>
    <tableColumn id="11" xr3:uid="{00000000-0010-0000-0200-00000B000000}" name="f4Eco" dataDxfId="18">
      <calculatedColumnFormula>(Table36[maxPSEco]-Table36[PSEco])/MAX(1,Table36[ratedRpm]-Table36[maxPRpm])^2</calculatedColumnFormula>
    </tableColumn>
    <tableColumn id="13" xr3:uid="{00000000-0010-0000-0200-00000D000000}" name="idleT" dataDxfId="17">
      <calculatedColumnFormula>(1-Table7[f1]*(Table36[maxTRpm1]-Table36[idleRpm])^2)*Table36[maxT]</calculatedColumnFormula>
    </tableColumn>
    <tableColumn id="19" xr3:uid="{00000000-0010-0000-0200-000013000000}" name="idleTEco" dataDxfId="16">
      <calculatedColumnFormula>(1-Table7[f1]*(Table36[maxTRpm1]-Table36[idleRpm])^2)*Table36[maxTEco]</calculatedColumnFormula>
    </tableColumn>
    <tableColumn id="21" xr3:uid="{00000000-0010-0000-0200-000015000000}" name="xmlComment" dataDxfId="15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  <tableColumn id="22" xr3:uid="{00000000-0010-0000-0200-000016000000}" name="maxDeltaEco" dataDxfId="14">
      <calculatedColumnFormula>MAX(Table15[deltaEco])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1:H19" totalsRowShown="0">
  <autoFilter ref="A1:H19" xr:uid="{00000000-0009-0000-0100-000001000000}"/>
  <tableColumns count="8">
    <tableColumn id="1" xr3:uid="{00000000-0010-0000-0300-000001000000}" name="rpm"/>
    <tableColumn id="7" xr3:uid="{00000000-0010-0000-0300-000007000000}" name="rawData"/>
    <tableColumn id="2" xr3:uid="{00000000-0010-0000-0300-000002000000}" name="pto">
      <calculatedColumnFormula>$A$22*Table1[[#This Row],[rawData]]</calculatedColumnFormula>
    </tableColumn>
    <tableColumn id="6" xr3:uid="{00000000-0010-0000-0300-000006000000}" name="kw_pto" dataDxfId="13">
      <calculatedColumnFormula>A2*C2/9550</calculatedColumnFormula>
    </tableColumn>
    <tableColumn id="3" xr3:uid="{00000000-0010-0000-0300-000003000000}" name="ps" dataDxfId="12">
      <calculatedColumnFormula>Table1[[#This Row],[kw_pto]]*1.36/0.94</calculatedColumnFormula>
    </tableColumn>
    <tableColumn id="4" xr3:uid="{00000000-0010-0000-0300-000004000000}" name="motor"/>
    <tableColumn id="5" xr3:uid="{00000000-0010-0000-0300-000005000000}" name="xml" dataDxfId="11">
      <calculatedColumnFormula>CONCATENATE("&lt;torque rpm=""",Table1[[#This Row],[rpm]],""" motorTorque=""",ROUND(Table1[[#This Row],[motor]],0),"""/&gt;")</calculatedColumnFormula>
    </tableColumn>
    <tableColumn id="8" xr3:uid="{00000000-0010-0000-0300-000008000000}" name="xml2" dataDxfId="10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21:D22" totalsRowShown="0">
  <autoFilter ref="A21:D22" xr:uid="{00000000-0009-0000-0100-000003000000}"/>
  <tableColumns count="4">
    <tableColumn id="1" xr3:uid="{00000000-0010-0000-0400-000001000000}" name="Factor">
      <calculatedColumnFormula>0.94</calculatedColumnFormula>
    </tableColumn>
    <tableColumn id="2" xr3:uid="{00000000-0010-0000-0400-000002000000}" name="ratedRpm"/>
    <tableColumn id="3" xr3:uid="{00000000-0010-0000-0400-000003000000}" name="PS"/>
    <tableColumn id="4" xr3:uid="{00000000-0010-0000-0400-000004000000}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2" displayName="Table2" ref="A1:I2" totalsRowShown="0" headerRowDxfId="9" tableBorderDxfId="8">
  <tableColumns count="9">
    <tableColumn id="1" xr3:uid="{00000000-0010-0000-0500-000001000000}" name="maxPRpm" dataDxfId="7"/>
    <tableColumn id="2" xr3:uid="{00000000-0010-0000-0500-000002000000}" name="maxPS" dataDxfId="6"/>
    <tableColumn id="4" xr3:uid="{00000000-0010-0000-0500-000004000000}" name="ratedRpm" dataDxfId="5"/>
    <tableColumn id="5" xr3:uid="{00000000-0010-0000-0500-000005000000}" name="PS" dataDxfId="4"/>
    <tableColumn id="7" xr3:uid="{00000000-0010-0000-0500-000007000000}" name="maxTRpm1" dataDxfId="3"/>
    <tableColumn id="8" xr3:uid="{00000000-0010-0000-0500-000008000000}" name="maxTRpm" dataDxfId="2"/>
    <tableColumn id="9" xr3:uid="{00000000-0010-0000-0500-000009000000}" name="maxT" dataDxfId="1"/>
    <tableColumn id="11" xr3:uid="{00000000-0010-0000-0500-00000B000000}" name="idleRpm" dataDxfId="0"/>
    <tableColumn id="12" xr3:uid="{00000000-0010-0000-0500-00000C000000}" name="Anfahrmoment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4:C11" totalsRowShown="0">
  <tableColumns count="3">
    <tableColumn id="1" xr3:uid="{00000000-0010-0000-0600-000001000000}" name="U/min"/>
    <tableColumn id="2" xr3:uid="{00000000-0010-0000-0600-000002000000}" name="Nm"/>
    <tableColumn id="3" xr3:uid="{00000000-0010-0000-0600-000003000000}" name="kW">
      <calculatedColumnFormula>B5*A5/9550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4:C65" totalsRowShown="0">
  <tableColumns count="3">
    <tableColumn id="1" xr3:uid="{00000000-0010-0000-0700-000001000000}" name="U/min"/>
    <tableColumn id="2" xr3:uid="{00000000-0010-0000-0700-000002000000}" name="Column1"/>
    <tableColumn id="3" xr3:uid="{00000000-0010-0000-0700-000003000000}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66"/>
  <sheetViews>
    <sheetView tabSelected="1" workbookViewId="0">
      <selection activeCell="X3" sqref="X3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9" s="4" customFormat="1" ht="45.75" customHeight="1" thickBot="1" x14ac:dyDescent="0.3">
      <c r="A1" s="4" t="s">
        <v>18</v>
      </c>
      <c r="B1" s="4" t="s">
        <v>23</v>
      </c>
      <c r="C1" s="4" t="s">
        <v>81</v>
      </c>
      <c r="D1" s="4" t="s">
        <v>35</v>
      </c>
      <c r="E1" s="4" t="s">
        <v>8</v>
      </c>
      <c r="F1" s="4" t="s">
        <v>10</v>
      </c>
      <c r="G1" s="4" t="s">
        <v>82</v>
      </c>
      <c r="H1" s="4" t="s">
        <v>36</v>
      </c>
      <c r="I1" s="4" t="s">
        <v>22</v>
      </c>
      <c r="J1" s="4" t="s">
        <v>12</v>
      </c>
      <c r="K1" s="5" t="s">
        <v>13</v>
      </c>
      <c r="L1" s="5" t="s">
        <v>83</v>
      </c>
      <c r="M1" s="4" t="s">
        <v>47</v>
      </c>
      <c r="N1" s="4" t="s">
        <v>14</v>
      </c>
      <c r="O1" s="4" t="s">
        <v>15</v>
      </c>
      <c r="P1" s="4" t="s">
        <v>21</v>
      </c>
      <c r="Q1" s="4" t="s">
        <v>25</v>
      </c>
      <c r="R1" s="4" t="s">
        <v>68</v>
      </c>
      <c r="S1" s="4" t="s">
        <v>49</v>
      </c>
      <c r="T1" s="4" t="s">
        <v>7</v>
      </c>
      <c r="U1" s="4" t="s">
        <v>31</v>
      </c>
      <c r="V1" s="4" t="s">
        <v>33</v>
      </c>
      <c r="W1" s="4" t="s">
        <v>30</v>
      </c>
      <c r="X1" s="4" t="s">
        <v>32</v>
      </c>
      <c r="Y1" s="4" t="s">
        <v>60</v>
      </c>
      <c r="Z1" s="4" t="s">
        <v>63</v>
      </c>
      <c r="AA1" s="4" t="s">
        <v>64</v>
      </c>
      <c r="AB1" s="4" t="s">
        <v>67</v>
      </c>
      <c r="AC1" s="4" t="s">
        <v>74</v>
      </c>
    </row>
    <row r="2" spans="1:29" ht="15.75" thickBot="1" x14ac:dyDescent="0.3">
      <c r="A2" s="42">
        <v>1900</v>
      </c>
      <c r="B2" s="43">
        <v>145</v>
      </c>
      <c r="C2" s="44"/>
      <c r="D2" s="39">
        <f>IF(Table36[maxPSEcoInput]&gt;0,Table36[maxPSEcoInput],Table36[maxPS]*Table36[maxPsEcoRate])</f>
        <v>145</v>
      </c>
      <c r="E2" s="42">
        <v>2100</v>
      </c>
      <c r="F2" s="43">
        <v>140</v>
      </c>
      <c r="G2" s="44"/>
      <c r="H2" s="11">
        <f>IF(Table36[PSEcoInput]&gt;0,Table36[PSEcoInput],Table36[PS]*Table36[PSEcoRate])</f>
        <v>140</v>
      </c>
      <c r="I2" s="42">
        <v>1400</v>
      </c>
      <c r="J2" s="43">
        <v>1400</v>
      </c>
      <c r="K2" s="43">
        <v>630</v>
      </c>
      <c r="L2" s="44"/>
      <c r="M2" s="39">
        <f>IF(Table36[maxTEcoInput]&gt;0,Table36[maxTEcoInput],Table36[maxT]*Table36[NmEcoRate])</f>
        <v>630</v>
      </c>
      <c r="N2" s="42">
        <v>850</v>
      </c>
      <c r="O2" s="45">
        <v>0.9</v>
      </c>
      <c r="P2" s="44">
        <v>149</v>
      </c>
      <c r="Q2" s="46">
        <v>0.5</v>
      </c>
      <c r="R2" s="41">
        <f>IF(Table36[fadeOut]&lt;100,3,IF(Table36[fadeOut]&lt;150,2.2,IF(Table36[fadeOut]&lt;200,2,1.7)))</f>
        <v>2.2000000000000002</v>
      </c>
      <c r="S2" s="41">
        <v>0.98</v>
      </c>
      <c r="T2" s="40">
        <v>1</v>
      </c>
      <c r="U2" s="46">
        <v>192</v>
      </c>
      <c r="V2" s="9">
        <f>Table36[fuelMinRate]/0.9</f>
        <v>213.33333333333331</v>
      </c>
      <c r="W2" s="10">
        <v>1270</v>
      </c>
      <c r="X2" s="11">
        <f>Table36[fuelRatedRate]</f>
        <v>213.33333333333331</v>
      </c>
      <c r="Y2" s="9">
        <f>ROUND(Table36[ratedRpm]+0.49*Table36[fadeOut],-2)</f>
        <v>2200</v>
      </c>
      <c r="Z2" s="47">
        <v>1</v>
      </c>
      <c r="AA2" s="48">
        <v>1</v>
      </c>
      <c r="AB2" s="37">
        <f>Table36[PSEcoRate]* (Table36[maxPRpm]-Table36[maxTRpm])/(Table36[ratedRpm]-Table36[maxTRpm]) + Table36[NmEcoRate]* (1- (Table36[maxPRpm]-Table36[maxTRpm])/(Table36[ratedRpm]-Table36[maxTRpm]))</f>
        <v>1</v>
      </c>
      <c r="AC2" s="38">
        <v>0.02</v>
      </c>
    </row>
    <row r="3" spans="1:29" x14ac:dyDescent="0.25">
      <c r="A3" s="8" t="s">
        <v>16</v>
      </c>
      <c r="B3" s="8" t="s">
        <v>17</v>
      </c>
      <c r="C3" s="8" t="s">
        <v>24</v>
      </c>
      <c r="D3" s="8" t="s">
        <v>26</v>
      </c>
      <c r="E3" s="8" t="s">
        <v>19</v>
      </c>
      <c r="F3" s="8" t="s">
        <v>20</v>
      </c>
      <c r="G3" s="15" t="s">
        <v>27</v>
      </c>
      <c r="H3" s="16" t="s">
        <v>66</v>
      </c>
      <c r="I3" s="16" t="s">
        <v>61</v>
      </c>
      <c r="J3" s="16" t="s">
        <v>62</v>
      </c>
      <c r="K3" s="15" t="s">
        <v>69</v>
      </c>
      <c r="L3" s="16" t="s">
        <v>70</v>
      </c>
      <c r="M3" s="17" t="s">
        <v>71</v>
      </c>
      <c r="N3" s="8" t="s">
        <v>65</v>
      </c>
      <c r="O3" s="8" t="s">
        <v>37</v>
      </c>
      <c r="P3" s="8" t="s">
        <v>38</v>
      </c>
      <c r="Q3" s="8" t="s">
        <v>41</v>
      </c>
      <c r="R3" s="8" t="s">
        <v>39</v>
      </c>
      <c r="S3" s="8" t="s">
        <v>40</v>
      </c>
      <c r="T3" s="8" t="s">
        <v>42</v>
      </c>
      <c r="U3" s="8" t="s">
        <v>48</v>
      </c>
      <c r="V3" s="8" t="s">
        <v>28</v>
      </c>
      <c r="W3" s="25" t="s">
        <v>76</v>
      </c>
    </row>
    <row r="4" spans="1:29" ht="15.75" thickBot="1" x14ac:dyDescent="0.3">
      <c r="A4" s="8">
        <f>(1-Table36[idleRatio])/((Table36[maxTRpm1]-Table36[idleRpm])^2)</f>
        <v>3.3057851239669416E-7</v>
      </c>
      <c r="B4" s="8">
        <f>(Table36[maxT]-Table7[Nm])/Table36[maxT]/(Table36[maxPRpm]-Table36[maxTRpm])</f>
        <v>2.9874932429112006E-4</v>
      </c>
      <c r="C4" s="8">
        <f>(Table36[maxT]-Table7[Nm])/Table36[maxT]/(Table36[maxPRpm]-Table36[maxTRpm])^2</f>
        <v>5.9749864858224014E-7</v>
      </c>
      <c r="D4" s="8">
        <f>(Table36[maxPS]-Table36[PS])/MAX(1,Table36[ratedRpm]-Table36[maxPRpm])^2</f>
        <v>1.25E-4</v>
      </c>
      <c r="E4" s="8">
        <f>Table36[maxPS]/1.36*9550/Table36[maxPRpm]</f>
        <v>535.89396284829718</v>
      </c>
      <c r="F4" s="8">
        <f>Table36[PS]/1.36*9550/Table36[ratedRpm]</f>
        <v>468.13725490196077</v>
      </c>
      <c r="G4" s="14">
        <f>Table7[Nm1000]/Table7[Nm2]</f>
        <v>1.2745785123966942</v>
      </c>
      <c r="H4" s="24">
        <f>Table36[maxTEco]/Table7[Nm2Eco]-1</f>
        <v>0.34575916230366488</v>
      </c>
      <c r="I4" s="24">
        <f>Table36[maxT]/Table7[Nm2]-1</f>
        <v>0.34575916230366488</v>
      </c>
      <c r="J4" s="24">
        <f>1-Table36[maxTRpm]/Table36[ratedRpm]</f>
        <v>0.33333333333333337</v>
      </c>
      <c r="K4" s="20">
        <f>Table36[maxPS]/1.36</f>
        <v>106.61764705882352</v>
      </c>
      <c r="L4" s="21">
        <f>Table36[PS]/1.36</f>
        <v>102.94117647058823</v>
      </c>
      <c r="M4" s="22">
        <f>Table36[fuelRatedRate]*1.1</f>
        <v>234.66666666666666</v>
      </c>
      <c r="N4" s="8">
        <f>(1-Table7[f1]*(Table36[maxTRpm1]-1000)^2)*Table36[maxTEco]</f>
        <v>596.67768595041321</v>
      </c>
      <c r="O4" s="8">
        <f>Table36[maxPSEco]/1.36*9550/Table36[maxPRpm]</f>
        <v>535.89396284829718</v>
      </c>
      <c r="P4" s="8">
        <f>Table36[PSEco]/1.36*9550/Table36[ratedRpm]</f>
        <v>468.13725490196077</v>
      </c>
      <c r="Q4" s="8">
        <f>(Table36[maxTEco]-Table7[NmEco])/Table36[maxTEco]/(Table36[maxPRpm]-Table36[maxTRpm])</f>
        <v>2.9874932429112006E-4</v>
      </c>
      <c r="R4" s="8">
        <f>(Table36[maxTEco]-Table7[NmEco])/Table36[maxTEco]/(Table36[maxPRpm]-Table36[maxTRpm])^2</f>
        <v>5.9749864858224014E-7</v>
      </c>
      <c r="S4" s="8">
        <f>(Table36[maxPSEco]-Table36[PSEco])/MAX(1,Table36[ratedRpm]-Table36[maxPRpm])^2</f>
        <v>1.25E-4</v>
      </c>
      <c r="T4" s="8">
        <f>(1-Table7[f1]*(Table36[maxTRpm1]-Table36[idleRpm])^2)*Table36[maxT]</f>
        <v>567</v>
      </c>
      <c r="U4" s="8">
        <f>(1-Table7[f1]*(Table36[maxTRpm1]-Table36[idleRpm])^2)*Table36[maxTEco]</f>
        <v>567</v>
      </c>
      <c r="V4" s="8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&lt;!-- 1900: 145(145) | 2100: 140(140) | 1400..1400: 630(630) | 90 | 0,5 | 149 | 2,2 | 2200 | 1270: 192 --&gt;</v>
      </c>
      <c r="W4" s="25">
        <f>MAX(Table15[deltaEco])</f>
        <v>0</v>
      </c>
    </row>
    <row r="6" spans="1:29" s="4" customFormat="1" ht="63.7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  <c r="W6" s="4" t="s">
        <v>72</v>
      </c>
      <c r="X6" s="4" t="s">
        <v>73</v>
      </c>
      <c r="Y6" s="4" t="s">
        <v>75</v>
      </c>
    </row>
    <row r="7" spans="1:29" x14ac:dyDescent="0.25">
      <c r="A7" s="3">
        <v>0</v>
      </c>
      <c r="B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2"/>
      <c r="D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2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18">
        <f>1.36*Table15[[#This Row],[rpm]]*Table15[[#This Row],[motor]]/9550</f>
        <v>0</v>
      </c>
      <c r="I7" s="18">
        <f>1.36*Table15[[#This Row],[rpm]]*Table15[[#This Row],[motorEco]]/9550</f>
        <v>0</v>
      </c>
      <c r="J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387.05971277399829</v>
      </c>
      <c r="K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&lt;!-- 1900: 145(145) | 2100: 140(140) | 1400..1400: 630(630) | 90 | 0,5 | 149 | 2,2 | 2200 | 1270: 192 --&gt;</v>
      </c>
      <c r="L7" s="7" t="str">
        <f>IF(Table15[[#This Row],[rpm]]&lt;1,Table7[xmlComment],IF(A6&gt;Table36[normRpm],"",IF(Table15[[#This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&lt;!-- 1900: 145(145) | 2100: 140(140) | 1400..1400: 630(630) | 90 | 0,5 | 149 | 2,2 | 2200 | 1270: 192 --&gt;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221.80165289256206</v>
      </c>
      <c r="O7" s="3">
        <f>MAX(0,(Table36[linearDown]*(1-Table7[f2]*(Table15[[#This Row],[rpm]]-Table36[maxTRpm]))+(1-Table36[linearDown])*(1-Table7[f3]*(Table15[[#This Row],[rpm]]-Table36[maxTRpm])^2))*Table36[maxT])</f>
        <v>392.85278637770887</v>
      </c>
      <c r="P7" s="3">
        <f>MAX(0,(Table36[maxPS]-Table7[f4]*(Table15[[#This Row],[rpm]]-Table36[maxPRpm])^2)/1.36*9550/MAX(1,Table15[[#This Row],[rpm]]))</f>
        <v>0</v>
      </c>
      <c r="Q7" s="3">
        <f>MAX(0,Table7[Nm2]*MIN(Table36[ratedRpm]/MAX(1,Table15[[#This Row],[rpm]]),1-(MAX(0,Table15[[#This Row],[rpm]]-Table36[ratedRpm])/Table36[fadeOut])^Table36[fadeOutExp]))</f>
        <v>468.13725490196077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221.80165289256206</v>
      </c>
      <c r="T7" s="3">
        <f>MAX(0,(Table36[linearDown]*(1-Table7[f2Eco]*(Table15[[#This Row],[rpm]]-Table36[maxTRpm]))+(1-Table36[linearDown])*(1-Table7[f3Eco]*(Table15[[#This Row],[rpm]]-Table36[maxTRpm])^2))*Table36[maxTEco])</f>
        <v>392.85278637770887</v>
      </c>
      <c r="U7" s="3">
        <f>MAX(0,(Table36[maxPSEco]-Table7[f4Eco]*(Table15[[#This Row],[rpm]]-Table36[maxPRpm])^2)/1.36*9550/MAX(1,Table15[[#This Row],[rpm]]))</f>
        <v>0</v>
      </c>
      <c r="V7" s="3">
        <f>MAX(0,Table7[Nm2Eco]*MIN(Table36[ratedRpm]/MAX(1,Table15[[#This Row],[rpm]]),1-(MAX(0,Table15[[#This Row],[rpm]]-Table36[ratedRpm])/Table36[fadeOut])^Table36[fadeOutExp]))</f>
        <v>468.13725490196077</v>
      </c>
      <c r="W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0</v>
      </c>
      <c r="X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0</v>
      </c>
      <c r="Y7" s="3">
        <f>ABS(Table15[[#This Row],[motor]]-Table15[[#This Row],[motorEco]])</f>
        <v>0</v>
      </c>
    </row>
    <row r="8" spans="1:29" x14ac:dyDescent="0.25">
      <c r="A8" s="3">
        <v>350</v>
      </c>
      <c r="B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382.98713482361688</v>
      </c>
      <c r="C8" s="13"/>
      <c r="D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382.98713482361688</v>
      </c>
      <c r="E8" s="13"/>
      <c r="F8" s="3">
        <f>Table36[Factor]*IF(Table15[[#This Row],[manualData]]&gt;0,Table15[[#This Row],[manualData]],Table15[[#This Row],[rawData]])</f>
        <v>382.98713482361688</v>
      </c>
      <c r="G8" s="3">
        <f>Table36[Factor]*IF(Table15[[#This Row],[manDataEco]]&gt;0,Table15[[#This Row],[manDataEco]],Table15[[#This Row],[rawDataEco]])</f>
        <v>382.98713482361688</v>
      </c>
      <c r="H8" s="18">
        <f>1.36*Table15[[#This Row],[rpm]]*Table15[[#This Row],[motor]]/9550</f>
        <v>19.089201693826354</v>
      </c>
      <c r="I8" s="18">
        <f>1.36*Table15[[#This Row],[rpm]]*Table15[[#This Row],[motorEco]]/9550</f>
        <v>19.089201693826354</v>
      </c>
      <c r="J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294.36130007558575</v>
      </c>
      <c r="K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motorTorque="383" fuelUsageRatio="294,4"/&gt;</v>
      </c>
      <c r="L8" s="7" t="str">
        <f>IF(Table15[[#This Row],[rpm]]&lt;1,Table7[xmlComment],IF(A7&gt;Table36[normRpm],"",IF(Table15[[#This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normRpm="0,159" torque="0,608"/&gt;</v>
      </c>
      <c r="M8" s="3">
        <f>(1-(1-Table15[[#This Row],[rpm]]/Table36[idleRpm])^2)*Table7[idleT]</f>
        <v>370.80622837370242</v>
      </c>
      <c r="N8" s="3">
        <f>MAX(0,(1-Table7[f1]*(Table36[maxTRpm1]-Table15[[#This Row],[rpm]])^2)*Table36[maxT])</f>
        <v>400.3884297520662</v>
      </c>
      <c r="O8" s="3">
        <f>MAX(0,(Table36[linearDown]*(1-Table7[f2]*(Table15[[#This Row],[rpm]]-Table36[maxTRpm]))+(1-Table36[linearDown])*(1-Table7[f3]*(Table15[[#This Row],[rpm]]-Table36[maxTRpm])^2))*Table36[maxT])</f>
        <v>521.30752708978332</v>
      </c>
      <c r="P8" s="3">
        <f>MAX(0,(Table36[maxPS]-Table7[f4]*(Table15[[#This Row],[rpm]]-Table36[maxPRpm])^2)/1.36*9550/MAX(1,Table15[[#This Row],[rpm]]))</f>
        <v>0</v>
      </c>
      <c r="Q8" s="3">
        <f>MAX(0,Table7[Nm2]*MIN(Table36[ratedRpm]/MAX(1,Table15[[#This Row],[rpm]]),1-(MAX(0,Table15[[#This Row],[rpm]]-Table36[ratedRpm])/Table36[fadeOut])^Table36[fadeOutExp]))</f>
        <v>468.13725490196077</v>
      </c>
      <c r="R8" s="3">
        <f>(1-(1-Table15[[#This Row],[rpm]]/Table36[idleRpm])^2)*Table7[idleTEco]</f>
        <v>370.80622837370242</v>
      </c>
      <c r="S8" s="3">
        <f>MAX(0,(1-Table7[f1]*(Table36[maxTRpm1]-Table15[[#This Row],[rpm]])^2)*Table36[maxTEco])</f>
        <v>400.3884297520662</v>
      </c>
      <c r="T8" s="3">
        <f>MAX(0,(Table36[linearDown]*(1-Table7[f2Eco]*(Table15[[#This Row],[rpm]]-Table36[maxTRpm]))+(1-Table36[linearDown])*(1-Table7[f3Eco]*(Table15[[#This Row],[rpm]]-Table36[maxTRpm])^2))*Table36[maxTEco])</f>
        <v>521.30752708978332</v>
      </c>
      <c r="U8" s="3">
        <f>MAX(0,(Table36[maxPSEco]-Table7[f4Eco]*(Table15[[#This Row],[rpm]]-Table36[maxPRpm])^2)/1.36*9550/MAX(1,Table15[[#This Row],[rpm]]))</f>
        <v>0</v>
      </c>
      <c r="V8" s="3">
        <f>MAX(0,Table7[Nm2Eco]*MIN(Table36[ratedRpm]/MAX(1,Table15[[#This Row],[rpm]]),1-(MAX(0,Table15[[#This Row],[rpm]]-Table36[ratedRpm])/Table36[fadeOut])^Table36[fadeOutExp]))</f>
        <v>468.13725490196077</v>
      </c>
      <c r="W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2861.6737616099067</v>
      </c>
      <c r="X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2861.6737616099067</v>
      </c>
      <c r="Y8" s="3">
        <f>ABS(Table15[[#This Row],[motor]]-Table15[[#This Row],[motorEco]])</f>
        <v>0</v>
      </c>
    </row>
    <row r="9" spans="1:29" x14ac:dyDescent="0.25">
      <c r="A9" s="3">
        <v>700</v>
      </c>
      <c r="B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531.72549804616858</v>
      </c>
      <c r="C9" s="13"/>
      <c r="D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531.72549804616858</v>
      </c>
      <c r="E9" s="13"/>
      <c r="F9" s="3">
        <f>Table36[Factor]*IF(Table15[[#This Row],[manualData]]&gt;0,Table15[[#This Row],[manualData]],Table15[[#This Row],[rawData]])</f>
        <v>531.72549804616858</v>
      </c>
      <c r="G9" s="3">
        <f>Table36[Factor]*IF(Table15[[#This Row],[manDataEco]]&gt;0,Table15[[#This Row],[manDataEco]],Table15[[#This Row],[rawDataEco]])</f>
        <v>531.72549804616858</v>
      </c>
      <c r="H9" s="18">
        <f>1.36*Table15[[#This Row],[rpm]]*Table15[[#This Row],[motor]]/9550</f>
        <v>53.005515616748959</v>
      </c>
      <c r="I9" s="18">
        <f>1.36*Table15[[#This Row],[rpm]]*Table15[[#This Row],[motorEco]]/9550</f>
        <v>53.005515616748959</v>
      </c>
      <c r="J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231.29251700680268</v>
      </c>
      <c r="K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motorTorque="532" fuelUsageRatio="231,3"/&gt;</v>
      </c>
      <c r="L9" s="7" t="str">
        <f>IF(Table15[[#This Row],[rpm]]&lt;1,Table7[xmlComment],IF(A8&gt;Table36[normRpm],"",IF(Table15[[#This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normRpm="0,318" torque="0,844"/&gt;</v>
      </c>
      <c r="M9" s="3">
        <f>(1-(1-Table15[[#This Row],[rpm]]/Table36[idleRpm])^2)*Table7[idleT]</f>
        <v>549.34256055363323</v>
      </c>
      <c r="N9" s="3">
        <f>MAX(0,(1-Table7[f1]*(Table36[maxTRpm1]-Table15[[#This Row],[rpm]])^2)*Table36[maxT])</f>
        <v>527.95041322314046</v>
      </c>
      <c r="O9" s="3">
        <f>MAX(0,(Table36[linearDown]*(1-Table7[f2]*(Table15[[#This Row],[rpm]]-Table36[maxTRpm]))+(1-Table36[linearDown])*(1-Table7[f3]*(Table15[[#This Row],[rpm]]-Table36[maxTRpm])^2))*Table36[maxT])</f>
        <v>603.65030959752323</v>
      </c>
      <c r="P9" s="3">
        <f>MAX(0,(Table36[maxPS]-Table7[f4]*(Table15[[#This Row],[rpm]]-Table36[maxPRpm])^2)/1.36*9550/MAX(1,Table15[[#This Row],[rpm]]))</f>
        <v>0</v>
      </c>
      <c r="Q9" s="3">
        <f>MAX(0,Table7[Nm2]*MIN(Table36[ratedRpm]/MAX(1,Table15[[#This Row],[rpm]]),1-(MAX(0,Table15[[#This Row],[rpm]]-Table36[ratedRpm])/Table36[fadeOut])^Table36[fadeOutExp]))</f>
        <v>468.13725490196077</v>
      </c>
      <c r="R9" s="3">
        <f>(1-(1-Table15[[#This Row],[rpm]]/Table36[idleRpm])^2)*Table7[idleTEco]</f>
        <v>549.34256055363323</v>
      </c>
      <c r="S9" s="3">
        <f>MAX(0,(1-Table7[f1]*(Table36[maxTRpm1]-Table15[[#This Row],[rpm]])^2)*Table36[maxTEco])</f>
        <v>527.95041322314046</v>
      </c>
      <c r="T9" s="3">
        <f>MAX(0,(Table36[linearDown]*(1-Table7[f2Eco]*(Table15[[#This Row],[rpm]]-Table36[maxTRpm]))+(1-Table36[linearDown])*(1-Table7[f3Eco]*(Table15[[#This Row],[rpm]]-Table36[maxTRpm])^2))*Table36[maxTEco])</f>
        <v>603.65030959752323</v>
      </c>
      <c r="U9" s="3">
        <f>MAX(0,(Table36[maxPSEco]-Table7[f4Eco]*(Table15[[#This Row],[rpm]]-Table36[maxPRpm])^2)/1.36*9550/MAX(1,Table15[[#This Row],[rpm]]))</f>
        <v>0</v>
      </c>
      <c r="V9" s="3">
        <f>MAX(0,Table7[Nm2Eco]*MIN(Table36[ratedRpm]/MAX(1,Table15[[#This Row],[rpm]]),1-(MAX(0,Table15[[#This Row],[rpm]]-Table36[ratedRpm])/Table36[fadeOut])^Table36[fadeOutExp]))</f>
        <v>468.13725490196077</v>
      </c>
      <c r="W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1436.1958204334362</v>
      </c>
      <c r="X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1436.1958204334362</v>
      </c>
      <c r="Y9" s="3">
        <f>ABS(Table15[[#This Row],[motor]]-Table15[[#This Row],[motorEco]])</f>
        <v>0</v>
      </c>
    </row>
    <row r="10" spans="1:29" x14ac:dyDescent="0.25">
      <c r="A10" s="3">
        <v>900</v>
      </c>
      <c r="B1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577.93388429752065</v>
      </c>
      <c r="C10" s="13"/>
      <c r="D1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577.93388429752065</v>
      </c>
      <c r="E10" s="13"/>
      <c r="F10" s="3">
        <f>Table36[Factor]*IF(Table15[[#This Row],[manualData]]&gt;0,Table15[[#This Row],[manualData]],Table15[[#This Row],[rawData]])</f>
        <v>577.93388429752065</v>
      </c>
      <c r="G10" s="3">
        <f>Table36[Factor]*IF(Table15[[#This Row],[manDataEco]]&gt;0,Table15[[#This Row],[manDataEco]],Table15[[#This Row],[rawDataEco]])</f>
        <v>577.93388429752065</v>
      </c>
      <c r="H10" s="18">
        <f>1.36*Table15[[#This Row],[rpm]]*Table15[[#This Row],[motor]]/9550</f>
        <v>74.072363809441399</v>
      </c>
      <c r="I10" s="18">
        <f>1.36*Table15[[#This Row],[rpm]]*Table15[[#This Row],[motorEco]]/9550</f>
        <v>74.072363809441399</v>
      </c>
      <c r="J1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208.55631141345427</v>
      </c>
      <c r="K1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motorTorque="578" fuelUsageRatio="208,6"/&gt;</v>
      </c>
      <c r="L10" s="7" t="str">
        <f>IF(Table15[[#This Row],[rpm]]&lt;1,Table7[xmlComment],IF(A9&gt;Table36[normRpm],"",IF(Table15[[#This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normRpm="0,409" torque="0,917"/&gt;</v>
      </c>
      <c r="M10" s="3">
        <f>(1-(1-Table15[[#This Row],[rpm]]/Table36[idleRpm])^2)*Table7[idleT]</f>
        <v>565.03806228373696</v>
      </c>
      <c r="N10" s="3">
        <f>MAX(0,(1-Table7[f1]*(Table36[maxTRpm1]-Table15[[#This Row],[rpm]])^2)*Table36[maxT])</f>
        <v>577.93388429752065</v>
      </c>
      <c r="O10" s="3">
        <f>MAX(0,(Table36[linearDown]*(1-Table7[f2]*(Table15[[#This Row],[rpm]]-Table36[maxTRpm]))+(1-Table36[linearDown])*(1-Table7[f3]*(Table15[[#This Row],[rpm]]-Table36[maxTRpm])^2))*Table36[maxT])</f>
        <v>630</v>
      </c>
      <c r="P10" s="3">
        <f>MAX(0,(Table36[maxPS]-Table7[f4]*(Table15[[#This Row],[rpm]]-Table36[maxPRpm])^2)/1.36*9550/MAX(1,Table15[[#This Row],[rpm]]))</f>
        <v>156.04575163398692</v>
      </c>
      <c r="Q10" s="3">
        <f>MAX(0,Table7[Nm2]*MIN(Table36[ratedRpm]/MAX(1,Table15[[#This Row],[rpm]]),1-(MAX(0,Table15[[#This Row],[rpm]]-Table36[ratedRpm])/Table36[fadeOut])^Table36[fadeOutExp]))</f>
        <v>468.13725490196077</v>
      </c>
      <c r="R10" s="3">
        <f>(1-(1-Table15[[#This Row],[rpm]]/Table36[idleRpm])^2)*Table7[idleTEco]</f>
        <v>565.03806228373696</v>
      </c>
      <c r="S10" s="3">
        <f>MAX(0,(1-Table7[f1]*(Table36[maxTRpm1]-Table15[[#This Row],[rpm]])^2)*Table36[maxTEco])</f>
        <v>577.93388429752065</v>
      </c>
      <c r="T10" s="3">
        <f>MAX(0,(Table36[linearDown]*(1-Table7[f2Eco]*(Table15[[#This Row],[rpm]]-Table36[maxTRpm]))+(1-Table36[linearDown])*(1-Table7[f3Eco]*(Table15[[#This Row],[rpm]]-Table36[maxTRpm])^2))*Table36[maxTEco])</f>
        <v>630</v>
      </c>
      <c r="U10" s="3">
        <f>MAX(0,(Table36[maxPSEco]-Table7[f4Eco]*(Table15[[#This Row],[rpm]]-Table36[maxPRpm])^2)/1.36*9550/MAX(1,Table15[[#This Row],[rpm]]))</f>
        <v>156.04575163398692</v>
      </c>
      <c r="V10" s="3">
        <f>MAX(0,Table7[Nm2Eco]*MIN(Table36[ratedRpm]/MAX(1,Table15[[#This Row],[rpm]]),1-(MAX(0,Table15[[#This Row],[rpm]]-Table36[ratedRpm])/Table36[fadeOut])^Table36[fadeOutExp]))</f>
        <v>468.13725490196077</v>
      </c>
      <c r="W1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1119.4229446164429</v>
      </c>
      <c r="X1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1119.4229446164429</v>
      </c>
      <c r="Y10" s="3">
        <f>ABS(Table15[[#This Row],[motor]]-Table15[[#This Row],[motorEco]])</f>
        <v>0</v>
      </c>
    </row>
    <row r="11" spans="1:29" x14ac:dyDescent="0.25">
      <c r="A11" s="3">
        <v>1000</v>
      </c>
      <c r="B1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596.67768595041321</v>
      </c>
      <c r="C11" s="13"/>
      <c r="D1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596.67768595041321</v>
      </c>
      <c r="E11" s="13"/>
      <c r="F11" s="3">
        <f>Table36[Factor]*IF(Table15[[#This Row],[manualData]]&gt;0,Table15[[#This Row],[manualData]],Table15[[#This Row],[rawData]])</f>
        <v>596.67768595041321</v>
      </c>
      <c r="G11" s="3">
        <f>Table36[Factor]*IF(Table15[[#This Row],[manDataEco]]&gt;0,Table15[[#This Row],[manDataEco]],Table15[[#This Row],[rawDataEco]])</f>
        <v>596.67768595041321</v>
      </c>
      <c r="H11" s="18">
        <f>1.36*Table15[[#This Row],[rpm]]*Table15[[#This Row],[motor]]/9550</f>
        <v>84.971900826446287</v>
      </c>
      <c r="I11" s="18">
        <f>1.36*Table15[[#This Row],[rpm]]*Table15[[#This Row],[motorEco]]/9550</f>
        <v>84.971900826446287</v>
      </c>
      <c r="J1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200.81632653061223</v>
      </c>
      <c r="K1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motorTorque="597" fuelUsageRatio="200,8"/&gt;</v>
      </c>
      <c r="L11" s="7" t="str">
        <f>IF(Table15[[#This Row],[rpm]]&lt;1,Table7[xmlComment],IF(A10&gt;Table36[normRpm],"",IF(Table15[[#This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normRpm="0,455" torque="0,947"/&gt;</v>
      </c>
      <c r="M11" s="3">
        <f>(1-(1-Table15[[#This Row],[rpm]]/Table36[idleRpm])^2)*Table7[idleT]</f>
        <v>549.34256055363323</v>
      </c>
      <c r="N11" s="3">
        <f>MAX(0,(1-Table7[f1]*(Table36[maxTRpm1]-Table15[[#This Row],[rpm]])^2)*Table36[maxT])</f>
        <v>596.67768595041321</v>
      </c>
      <c r="O11" s="3">
        <f>MAX(0,(Table36[linearDown]*(1-Table7[f2]*(Table15[[#This Row],[rpm]]-Table36[maxTRpm]))+(1-Table36[linearDown])*(1-Table7[f3]*(Table15[[#This Row],[rpm]]-Table36[maxTRpm])^2))*Table36[maxT])</f>
        <v>637.5284829721362</v>
      </c>
      <c r="P11" s="3">
        <f>MAX(0,(Table36[maxPS]-Table7[f4]*(Table15[[#This Row],[rpm]]-Table36[maxPRpm])^2)/1.36*9550/MAX(1,Table15[[#This Row],[rpm]]))</f>
        <v>307.21507352941177</v>
      </c>
      <c r="Q11" s="3">
        <f>MAX(0,Table7[Nm2]*MIN(Table36[ratedRpm]/MAX(1,Table15[[#This Row],[rpm]]),1-(MAX(0,Table15[[#This Row],[rpm]]-Table36[ratedRpm])/Table36[fadeOut])^Table36[fadeOutExp]))</f>
        <v>468.13725490196077</v>
      </c>
      <c r="R11" s="3">
        <f>(1-(1-Table15[[#This Row],[rpm]]/Table36[idleRpm])^2)*Table7[idleTEco]</f>
        <v>549.34256055363323</v>
      </c>
      <c r="S11" s="3">
        <f>MAX(0,(1-Table7[f1]*(Table36[maxTRpm1]-Table15[[#This Row],[rpm]])^2)*Table36[maxTEco])</f>
        <v>596.67768595041321</v>
      </c>
      <c r="T11" s="3">
        <f>MAX(0,(Table36[linearDown]*(1-Table7[f2Eco]*(Table15[[#This Row],[rpm]]-Table36[maxTRpm]))+(1-Table36[linearDown])*(1-Table7[f3Eco]*(Table15[[#This Row],[rpm]]-Table36[maxTRpm])^2))*Table36[maxTEco])</f>
        <v>637.5284829721362</v>
      </c>
      <c r="U11" s="3">
        <f>MAX(0,(Table36[maxPSEco]-Table7[f4Eco]*(Table15[[#This Row],[rpm]]-Table36[maxPRpm])^2)/1.36*9550/MAX(1,Table15[[#This Row],[rpm]]))</f>
        <v>307.21507352941177</v>
      </c>
      <c r="V11" s="3">
        <f>MAX(0,Table7[Nm2Eco]*MIN(Table36[ratedRpm]/MAX(1,Table15[[#This Row],[rpm]]),1-(MAX(0,Table15[[#This Row],[rpm]]-Table36[ratedRpm])/Table36[fadeOut])^Table36[fadeOutExp]))</f>
        <v>468.13725490196077</v>
      </c>
      <c r="W1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1008.5524380804953</v>
      </c>
      <c r="X1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1008.5524380804953</v>
      </c>
      <c r="Y11" s="3">
        <f>ABS(Table15[[#This Row],[motor]]-Table15[[#This Row],[motorEco]])</f>
        <v>0</v>
      </c>
    </row>
    <row r="12" spans="1:29" x14ac:dyDescent="0.25">
      <c r="A12" s="3">
        <v>1100</v>
      </c>
      <c r="B1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611.25619834710744</v>
      </c>
      <c r="C12" s="13"/>
      <c r="D1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611.25619834710744</v>
      </c>
      <c r="E12" s="13"/>
      <c r="F12" s="3">
        <f>Table36[Factor]*IF(Table15[[#This Row],[manualData]]&gt;0,Table15[[#This Row],[manualData]],Table15[[#This Row],[rawData]])</f>
        <v>611.25619834710744</v>
      </c>
      <c r="G12" s="3">
        <f>Table36[Factor]*IF(Table15[[#This Row],[manDataEco]]&gt;0,Table15[[#This Row],[manDataEco]],Table15[[#This Row],[rawDataEco]])</f>
        <v>611.25619834710744</v>
      </c>
      <c r="H12" s="18">
        <f>1.36*Table15[[#This Row],[rpm]]*Table15[[#This Row],[motor]]/9550</f>
        <v>95.75280342693955</v>
      </c>
      <c r="I12" s="18">
        <f>1.36*Table15[[#This Row],[rpm]]*Table15[[#This Row],[motorEco]]/9550</f>
        <v>95.75280342693955</v>
      </c>
      <c r="J1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195.49508692365836</v>
      </c>
      <c r="K1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motorTorque="611" fuelUsageRatio="195,5"/&gt;</v>
      </c>
      <c r="L12" s="7" t="str">
        <f>IF(Table15[[#This Row],[rpm]]&lt;1,Table7[xmlComment],IF(A11&gt;Table36[normRpm],"",IF(Table15[[#This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normRpm="0,5" torque="0,97"/&gt;</v>
      </c>
      <c r="M12" s="3">
        <f>(1-(1-Table15[[#This Row],[rpm]]/Table36[idleRpm])^2)*Table7[idleT]</f>
        <v>517.95155709342566</v>
      </c>
      <c r="N12" s="3">
        <f>MAX(0,(1-Table7[f1]*(Table36[maxTRpm1]-Table15[[#This Row],[rpm]])^2)*Table36[maxT])</f>
        <v>611.25619834710744</v>
      </c>
      <c r="O12" s="3">
        <f>MAX(0,(Table36[linearDown]*(1-Table7[f2]*(Table15[[#This Row],[rpm]]-Table36[maxTRpm]))+(1-Table36[linearDown])*(1-Table7[f3]*(Table15[[#This Row],[rpm]]-Table36[maxTRpm])^2))*Table36[maxT])</f>
        <v>641.29272445820436</v>
      </c>
      <c r="P12" s="3">
        <f>MAX(0,(Table36[maxPS]-Table7[f4]*(Table15[[#This Row],[rpm]]-Table36[maxPRpm])^2)/1.36*9550/MAX(1,Table15[[#This Row],[rpm]]))</f>
        <v>414.93983957219251</v>
      </c>
      <c r="Q12" s="3">
        <f>MAX(0,Table7[Nm2]*MIN(Table36[ratedRpm]/MAX(1,Table15[[#This Row],[rpm]]),1-(MAX(0,Table15[[#This Row],[rpm]]-Table36[ratedRpm])/Table36[fadeOut])^Table36[fadeOutExp]))</f>
        <v>468.13725490196077</v>
      </c>
      <c r="R12" s="3">
        <f>(1-(1-Table15[[#This Row],[rpm]]/Table36[idleRpm])^2)*Table7[idleTEco]</f>
        <v>517.95155709342566</v>
      </c>
      <c r="S12" s="3">
        <f>MAX(0,(1-Table7[f1]*(Table36[maxTRpm1]-Table15[[#This Row],[rpm]])^2)*Table36[maxTEco])</f>
        <v>611.25619834710744</v>
      </c>
      <c r="T12" s="3">
        <f>MAX(0,(Table36[linearDown]*(1-Table7[f2Eco]*(Table15[[#This Row],[rpm]]-Table36[maxTRpm]))+(1-Table36[linearDown])*(1-Table7[f3Eco]*(Table15[[#This Row],[rpm]]-Table36[maxTRpm])^2))*Table36[maxTEco])</f>
        <v>641.29272445820436</v>
      </c>
      <c r="U12" s="3">
        <f>MAX(0,(Table36[maxPSEco]-Table7[f4Eco]*(Table15[[#This Row],[rpm]]-Table36[maxPRpm])^2)/1.36*9550/MAX(1,Table15[[#This Row],[rpm]]))</f>
        <v>414.93983957219251</v>
      </c>
      <c r="V12" s="3">
        <f>MAX(0,Table7[Nm2Eco]*MIN(Table36[ratedRpm]/MAX(1,Table15[[#This Row],[rpm]]),1-(MAX(0,Table15[[#This Row],[rpm]]-Table36[ratedRpm])/Table36[fadeOut])^Table36[fadeOutExp]))</f>
        <v>468.13725490196077</v>
      </c>
      <c r="W1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917.84020546017439</v>
      </c>
      <c r="X1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917.84020546017439</v>
      </c>
      <c r="Y12" s="3">
        <f>ABS(Table15[[#This Row],[motor]]-Table15[[#This Row],[motorEco]])</f>
        <v>0</v>
      </c>
    </row>
    <row r="13" spans="1:29" x14ac:dyDescent="0.25">
      <c r="A13" s="3">
        <v>1200</v>
      </c>
      <c r="B1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621.66942148760324</v>
      </c>
      <c r="C13" s="13"/>
      <c r="D1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621.66942148760324</v>
      </c>
      <c r="E13" s="13"/>
      <c r="F13" s="3">
        <f>Table36[Factor]*IF(Table15[[#This Row],[manualData]]&gt;0,Table15[[#This Row],[manualData]],Table15[[#This Row],[rawData]])</f>
        <v>621.66942148760324</v>
      </c>
      <c r="G13" s="3">
        <f>Table36[Factor]*IF(Table15[[#This Row],[manDataEco]]&gt;0,Table15[[#This Row],[manDataEco]],Table15[[#This Row],[rawDataEco]])</f>
        <v>621.66942148760324</v>
      </c>
      <c r="H13" s="18">
        <f>1.36*Table15[[#This Row],[rpm]]*Table15[[#This Row],[motor]]/9550</f>
        <v>106.23711998615379</v>
      </c>
      <c r="I13" s="18">
        <f>1.36*Table15[[#This Row],[rpm]]*Table15[[#This Row],[motorEco]]/9550</f>
        <v>106.23711998615379</v>
      </c>
      <c r="J1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192.59259259259258</v>
      </c>
      <c r="K1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motorTorque="622" fuelUsageRatio="192,6"/&gt;</v>
      </c>
      <c r="L13" s="7" t="str">
        <f>IF(Table15[[#This Row],[rpm]]&lt;1,Table7[xmlComment],IF(A12&gt;Table36[normRpm],"",IF(Table15[[#This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normRpm="0,545" torque="0,987"/&gt;</v>
      </c>
      <c r="M13" s="3">
        <f>(1-(1-Table15[[#This Row],[rpm]]/Table36[idleRpm])^2)*Table7[idleT]</f>
        <v>470.86505190311414</v>
      </c>
      <c r="N13" s="3">
        <f>MAX(0,(1-Table7[f1]*(Table36[maxTRpm1]-Table15[[#This Row],[rpm]])^2)*Table36[maxT])</f>
        <v>621.66942148760324</v>
      </c>
      <c r="O13" s="3">
        <f>MAX(0,(Table36[linearDown]*(1-Table7[f2]*(Table15[[#This Row],[rpm]]-Table36[maxTRpm]))+(1-Table36[linearDown])*(1-Table7[f3]*(Table15[[#This Row],[rpm]]-Table36[maxTRpm])^2))*Table36[maxT])</f>
        <v>641.29272445820425</v>
      </c>
      <c r="P13" s="3">
        <f>MAX(0,(Table36[maxPS]-Table7[f4]*(Table15[[#This Row],[rpm]]-Table36[maxPRpm])^2)/1.36*9550/MAX(1,Table15[[#This Row],[rpm]]))</f>
        <v>490.08118872549016</v>
      </c>
      <c r="Q13" s="3">
        <f>MAX(0,Table7[Nm2]*MIN(Table36[ratedRpm]/MAX(1,Table15[[#This Row],[rpm]]),1-(MAX(0,Table15[[#This Row],[rpm]]-Table36[ratedRpm])/Table36[fadeOut])^Table36[fadeOutExp]))</f>
        <v>468.13725490196077</v>
      </c>
      <c r="R13" s="3">
        <f>(1-(1-Table15[[#This Row],[rpm]]/Table36[idleRpm])^2)*Table7[idleTEco]</f>
        <v>470.86505190311414</v>
      </c>
      <c r="S13" s="3">
        <f>MAX(0,(1-Table7[f1]*(Table36[maxTRpm1]-Table15[[#This Row],[rpm]])^2)*Table36[maxTEco])</f>
        <v>621.66942148760324</v>
      </c>
      <c r="T13" s="3">
        <f>MAX(0,(Table36[linearDown]*(1-Table7[f2Eco]*(Table15[[#This Row],[rpm]]-Table36[maxTRpm]))+(1-Table36[linearDown])*(1-Table7[f3Eco]*(Table15[[#This Row],[rpm]]-Table36[maxTRpm])^2))*Table36[maxTEco])</f>
        <v>641.29272445820425</v>
      </c>
      <c r="U13" s="3">
        <f>MAX(0,(Table36[maxPSEco]-Table7[f4Eco]*(Table15[[#This Row],[rpm]]-Table36[maxPRpm])^2)/1.36*9550/MAX(1,Table15[[#This Row],[rpm]]))</f>
        <v>490.08118872549016</v>
      </c>
      <c r="V13" s="3">
        <f>MAX(0,Table7[Nm2Eco]*MIN(Table36[ratedRpm]/MAX(1,Table15[[#This Row],[rpm]]),1-(MAX(0,Table15[[#This Row],[rpm]]-Table36[ratedRpm])/Table36[fadeOut])^Table36[fadeOutExp]))</f>
        <v>468.13725490196077</v>
      </c>
      <c r="W1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842.24667827657368</v>
      </c>
      <c r="X1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842.24667827657368</v>
      </c>
      <c r="Y13" s="3">
        <f>ABS(Table15[[#This Row],[motor]]-Table15[[#This Row],[motorEco]])</f>
        <v>0</v>
      </c>
    </row>
    <row r="14" spans="1:29" x14ac:dyDescent="0.25">
      <c r="A14" s="3">
        <v>1300</v>
      </c>
      <c r="B1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627.91735537190084</v>
      </c>
      <c r="C14" s="13"/>
      <c r="D1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627.91735537190084</v>
      </c>
      <c r="E14" s="13"/>
      <c r="F14" s="3">
        <f>Table36[Factor]*IF(Table15[[#This Row],[manualData]]&gt;0,Table15[[#This Row],[manualData]],Table15[[#This Row],[rawData]])</f>
        <v>627.91735537190084</v>
      </c>
      <c r="G14" s="3">
        <f>Table36[Factor]*IF(Table15[[#This Row],[manDataEco]]&gt;0,Table15[[#This Row],[manDataEco]],Table15[[#This Row],[rawDataEco]])</f>
        <v>627.91735537190084</v>
      </c>
      <c r="H14" s="18">
        <f>1.36*Table15[[#This Row],[rpm]]*Table15[[#This Row],[motor]]/9550</f>
        <v>116.24689887932155</v>
      </c>
      <c r="I14" s="18">
        <f>1.36*Table15[[#This Row],[rpm]]*Table15[[#This Row],[motorEco]]/9550</f>
        <v>116.24689887932155</v>
      </c>
      <c r="J1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192.02787051821744</v>
      </c>
      <c r="K1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motorTorque="628" fuelUsageRatio="192"/&gt;</v>
      </c>
      <c r="L14" s="7" t="str">
        <f>IF(Table15[[#This Row],[rpm]]&lt;1,Table7[xmlComment],IF(A13&gt;Table36[normRpm],"",IF(Table15[[#This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normRpm="0,591" torque="0,997"/&gt;</v>
      </c>
      <c r="M14" s="3">
        <f>(1-(1-Table15[[#This Row],[rpm]]/Table36[idleRpm])^2)*Table7[idleT]</f>
        <v>408.08304498269905</v>
      </c>
      <c r="N14" s="3">
        <f>MAX(0,(1-Table7[f1]*(Table36[maxTRpm1]-Table15[[#This Row],[rpm]])^2)*Table36[maxT])</f>
        <v>627.91735537190084</v>
      </c>
      <c r="O14" s="3">
        <f>MAX(0,(Table36[linearDown]*(1-Table7[f2]*(Table15[[#This Row],[rpm]]-Table36[maxTRpm]))+(1-Table36[linearDown])*(1-Table7[f3]*(Table15[[#This Row],[rpm]]-Table36[maxTRpm])^2))*Table36[maxT])</f>
        <v>637.5284829721362</v>
      </c>
      <c r="P14" s="3">
        <f>MAX(0,(Table36[maxPS]-Table7[f4]*(Table15[[#This Row],[rpm]]-Table36[maxPRpm])^2)/1.36*9550/MAX(1,Table15[[#This Row],[rpm]]))</f>
        <v>540.15837104072398</v>
      </c>
      <c r="Q14" s="3">
        <f>MAX(0,Table7[Nm2]*MIN(Table36[ratedRpm]/MAX(1,Table15[[#This Row],[rpm]]),1-(MAX(0,Table15[[#This Row],[rpm]]-Table36[ratedRpm])/Table36[fadeOut])^Table36[fadeOutExp]))</f>
        <v>468.13725490196077</v>
      </c>
      <c r="R14" s="3">
        <f>(1-(1-Table15[[#This Row],[rpm]]/Table36[idleRpm])^2)*Table7[idleTEco]</f>
        <v>408.08304498269905</v>
      </c>
      <c r="S14" s="3">
        <f>MAX(0,(1-Table7[f1]*(Table36[maxTRpm1]-Table15[[#This Row],[rpm]])^2)*Table36[maxTEco])</f>
        <v>627.91735537190084</v>
      </c>
      <c r="T14" s="3">
        <f>MAX(0,(Table36[linearDown]*(1-Table7[f2Eco]*(Table15[[#This Row],[rpm]]-Table36[maxTRpm]))+(1-Table36[linearDown])*(1-Table7[f3Eco]*(Table15[[#This Row],[rpm]]-Table36[maxTRpm])^2))*Table36[maxTEco])</f>
        <v>637.5284829721362</v>
      </c>
      <c r="U14" s="3">
        <f>MAX(0,(Table36[maxPSEco]-Table7[f4Eco]*(Table15[[#This Row],[rpm]]-Table36[maxPRpm])^2)/1.36*9550/MAX(1,Table15[[#This Row],[rpm]]))</f>
        <v>540.15837104072398</v>
      </c>
      <c r="V14" s="3">
        <f>MAX(0,Table7[Nm2Eco]*MIN(Table36[ratedRpm]/MAX(1,Table15[[#This Row],[rpm]]),1-(MAX(0,Table15[[#This Row],[rpm]]-Table36[ratedRpm])/Table36[fadeOut])^Table36[fadeOutExp]))</f>
        <v>468.13725490196077</v>
      </c>
      <c r="W1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778.28292450583467</v>
      </c>
      <c r="X1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778.28292450583467</v>
      </c>
      <c r="Y14" s="3">
        <f>ABS(Table15[[#This Row],[motor]]-Table15[[#This Row],[motorEco]])</f>
        <v>0</v>
      </c>
    </row>
    <row r="15" spans="1:29" x14ac:dyDescent="0.25">
      <c r="A15" s="3">
        <v>1400</v>
      </c>
      <c r="B1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630</v>
      </c>
      <c r="C15" s="13"/>
      <c r="D1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630</v>
      </c>
      <c r="E15" s="13"/>
      <c r="F15" s="3">
        <f>Table36[Factor]*IF(Table15[[#This Row],[manualData]]&gt;0,Table15[[#This Row],[manualData]],Table15[[#This Row],[rawData]])</f>
        <v>630</v>
      </c>
      <c r="G15" s="3">
        <f>Table36[Factor]*IF(Table15[[#This Row],[manDataEco]]&gt;0,Table15[[#This Row],[manDataEco]],Table15[[#This Row],[rawDataEco]])</f>
        <v>630</v>
      </c>
      <c r="H15" s="18">
        <f>1.36*Table15[[#This Row],[rpm]]*Table15[[#This Row],[motor]]/9550</f>
        <v>125.60418848167542</v>
      </c>
      <c r="I15" s="18">
        <f>1.36*Table15[[#This Row],[rpm]]*Table15[[#This Row],[motorEco]]/9550</f>
        <v>125.60418848167542</v>
      </c>
      <c r="J1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192.52334639763876</v>
      </c>
      <c r="K1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motorTorque="630" fuelUsageRatio="192,5"/&gt;</v>
      </c>
      <c r="L15" s="7" t="str">
        <f>IF(Table15[[#This Row],[rpm]]&lt;1,Table7[xmlComment],IF(A14&gt;Table36[normRpm],"",IF(Table15[[#This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normRpm="0,636" torque="1"/&gt;</v>
      </c>
      <c r="M15" s="3">
        <f>(1-(1-Table15[[#This Row],[rpm]]/Table36[idleRpm])^2)*Table7[idleT]</f>
        <v>329.60553633217995</v>
      </c>
      <c r="N15" s="3">
        <f>MAX(0,(1-Table7[f1]*(Table36[maxTRpm1]-Table15[[#This Row],[rpm]])^2)*Table36[maxT])</f>
        <v>630</v>
      </c>
      <c r="O15" s="3">
        <f>MAX(0,(Table36[linearDown]*(1-Table7[f2]*(Table15[[#This Row],[rpm]]-Table36[maxTRpm]))+(1-Table36[linearDown])*(1-Table7[f3]*(Table15[[#This Row],[rpm]]-Table36[maxTRpm])^2))*Table36[maxT])</f>
        <v>630</v>
      </c>
      <c r="P15" s="3">
        <f>MAX(0,(Table36[maxPS]-Table7[f4]*(Table15[[#This Row],[rpm]]-Table36[maxPRpm])^2)/1.36*9550/MAX(1,Table15[[#This Row],[rpm]]))</f>
        <v>570.54227941176475</v>
      </c>
      <c r="Q15" s="3">
        <f>MAX(0,Table7[Nm2]*MIN(Table36[ratedRpm]/MAX(1,Table15[[#This Row],[rpm]]),1-(MAX(0,Table15[[#This Row],[rpm]]-Table36[ratedRpm])/Table36[fadeOut])^Table36[fadeOutExp]))</f>
        <v>468.13725490196077</v>
      </c>
      <c r="R15" s="3">
        <f>(1-(1-Table15[[#This Row],[rpm]]/Table36[idleRpm])^2)*Table7[idleTEco]</f>
        <v>329.60553633217995</v>
      </c>
      <c r="S15" s="3">
        <f>MAX(0,(1-Table7[f1]*(Table36[maxTRpm1]-Table15[[#This Row],[rpm]])^2)*Table36[maxTEco])</f>
        <v>630</v>
      </c>
      <c r="T15" s="3">
        <f>MAX(0,(Table36[linearDown]*(1-Table7[f2Eco]*(Table15[[#This Row],[rpm]]-Table36[maxTRpm]))+(1-Table36[linearDown])*(1-Table7[f3Eco]*(Table15[[#This Row],[rpm]]-Table36[maxTRpm])^2))*Table36[maxTEco])</f>
        <v>630</v>
      </c>
      <c r="U15" s="3">
        <f>MAX(0,(Table36[maxPSEco]-Table7[f4Eco]*(Table15[[#This Row],[rpm]]-Table36[maxPRpm])^2)/1.36*9550/MAX(1,Table15[[#This Row],[rpm]]))</f>
        <v>570.54227941176475</v>
      </c>
      <c r="V15" s="3">
        <f>MAX(0,Table7[Nm2Eco]*MIN(Table36[ratedRpm]/MAX(1,Table15[[#This Row],[rpm]]),1-(MAX(0,Table15[[#This Row],[rpm]]-Table36[ratedRpm])/Table36[fadeOut])^Table36[fadeOutExp]))</f>
        <v>468.13725490196077</v>
      </c>
      <c r="W1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723.45684984520108</v>
      </c>
      <c r="X1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723.45684984520108</v>
      </c>
      <c r="Y15" s="3">
        <f>ABS(Table15[[#This Row],[motor]]-Table15[[#This Row],[motorEco]])</f>
        <v>0</v>
      </c>
    </row>
    <row r="16" spans="1:29" x14ac:dyDescent="0.25">
      <c r="A16" s="3">
        <v>1500</v>
      </c>
      <c r="B1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618.70727554179564</v>
      </c>
      <c r="C16" s="13"/>
      <c r="D1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618.70727554179564</v>
      </c>
      <c r="E16" s="13"/>
      <c r="F16" s="3">
        <f>Table36[Factor]*IF(Table15[[#This Row],[manualData]]&gt;0,Table15[[#This Row],[manualData]],Table15[[#This Row],[rawData]])</f>
        <v>618.70727554179564</v>
      </c>
      <c r="G16" s="3">
        <f>Table36[Factor]*IF(Table15[[#This Row],[manDataEco]]&gt;0,Table15[[#This Row],[manDataEco]],Table15[[#This Row],[rawDataEco]])</f>
        <v>618.70727554179564</v>
      </c>
      <c r="H16" s="18">
        <f>1.36*Table15[[#This Row],[rpm]]*Table15[[#This Row],[motor]]/9550</f>
        <v>132.16364838798566</v>
      </c>
      <c r="I16" s="18">
        <f>1.36*Table15[[#This Row],[rpm]]*Table15[[#This Row],[motorEco]]/9550</f>
        <v>132.16364838798566</v>
      </c>
      <c r="J1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193.63816712633667</v>
      </c>
      <c r="K1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motorTorque="619" fuelUsageRatio="193,6"/&gt;</v>
      </c>
      <c r="L16" s="7" t="str">
        <f>IF(Table15[[#This Row],[rpm]]&lt;1,Table7[xmlComment],IF(A15&gt;Table36[normRpm],"",IF(Table15[[#This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normRpm="0,682" torque="0,982"/&gt;</v>
      </c>
      <c r="M16" s="3">
        <f>(1-(1-Table15[[#This Row],[rpm]]/Table36[idleRpm])^2)*Table7[idleT]</f>
        <v>235.43252595155712</v>
      </c>
      <c r="N16" s="3">
        <f>MAX(0,(1-Table7[f1]*(Table36[maxTRpm1]-Table15[[#This Row],[rpm]])^2)*Table36[maxT])</f>
        <v>627.91735537190084</v>
      </c>
      <c r="O16" s="3">
        <f>MAX(0,(Table36[linearDown]*(1-Table7[f2]*(Table15[[#This Row],[rpm]]-Table36[maxTRpm]))+(1-Table36[linearDown])*(1-Table7[f3]*(Table15[[#This Row],[rpm]]-Table36[maxTRpm])^2))*Table36[maxT])</f>
        <v>618.70727554179564</v>
      </c>
      <c r="P16" s="3">
        <f>MAX(0,(Table36[maxPS]-Table7[f4]*(Table15[[#This Row],[rpm]]-Table36[maxPRpm])^2)/1.36*9550/MAX(1,Table15[[#This Row],[rpm]]))</f>
        <v>585.17156862745094</v>
      </c>
      <c r="Q16" s="3">
        <f>MAX(0,Table7[Nm2]*MIN(Table36[ratedRpm]/MAX(1,Table15[[#This Row],[rpm]]),1-(MAX(0,Table15[[#This Row],[rpm]]-Table36[ratedRpm])/Table36[fadeOut])^Table36[fadeOutExp]))</f>
        <v>468.13725490196077</v>
      </c>
      <c r="R16" s="3">
        <f>(1-(1-Table15[[#This Row],[rpm]]/Table36[idleRpm])^2)*Table7[idleTEco]</f>
        <v>235.43252595155712</v>
      </c>
      <c r="S16" s="3">
        <f>MAX(0,(1-Table7[f1]*(Table36[maxTRpm1]-Table15[[#This Row],[rpm]])^2)*Table36[maxTEco])</f>
        <v>627.91735537190084</v>
      </c>
      <c r="T16" s="3">
        <f>MAX(0,(Table36[linearDown]*(1-Table7[f2Eco]*(Table15[[#This Row],[rpm]]-Table36[maxTRpm]))+(1-Table36[linearDown])*(1-Table7[f3Eco]*(Table15[[#This Row],[rpm]]-Table36[maxTRpm])^2))*Table36[maxTEco])</f>
        <v>618.70727554179564</v>
      </c>
      <c r="U16" s="3">
        <f>MAX(0,(Table36[maxPSEco]-Table7[f4Eco]*(Table15[[#This Row],[rpm]]-Table36[maxPRpm])^2)/1.36*9550/MAX(1,Table15[[#This Row],[rpm]]))</f>
        <v>585.17156862745094</v>
      </c>
      <c r="V16" s="3">
        <f>MAX(0,Table7[Nm2Eco]*MIN(Table36[ratedRpm]/MAX(1,Table15[[#This Row],[rpm]]),1-(MAX(0,Table15[[#This Row],[rpm]]-Table36[ratedRpm])/Table36[fadeOut])^Table36[fadeOutExp]))</f>
        <v>468.13725490196077</v>
      </c>
      <c r="W1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675.94091847265224</v>
      </c>
      <c r="X1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675.94091847265224</v>
      </c>
      <c r="Y16" s="3">
        <f>ABS(Table15[[#This Row],[motor]]-Table15[[#This Row],[motorEco]])</f>
        <v>0</v>
      </c>
    </row>
    <row r="17" spans="1:25" x14ac:dyDescent="0.25">
      <c r="A17" s="3">
        <v>1600</v>
      </c>
      <c r="B1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603.65030959752323</v>
      </c>
      <c r="C17" s="13"/>
      <c r="D1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603.65030959752323</v>
      </c>
      <c r="E17" s="13"/>
      <c r="F17" s="3">
        <f>Table36[Factor]*IF(Table15[[#This Row],[manualData]]&gt;0,Table15[[#This Row],[manualData]],Table15[[#This Row],[rawData]])</f>
        <v>603.65030959752323</v>
      </c>
      <c r="G17" s="3">
        <f>Table36[Factor]*IF(Table15[[#This Row],[manDataEco]]&gt;0,Table15[[#This Row],[manDataEco]],Table15[[#This Row],[rawDataEco]])</f>
        <v>603.65030959752323</v>
      </c>
      <c r="H17" s="18">
        <f>1.36*Table15[[#This Row],[rpm]]*Table15[[#This Row],[motor]]/9550</f>
        <v>137.543777349132</v>
      </c>
      <c r="I17" s="18">
        <f>1.36*Table15[[#This Row],[rpm]]*Table15[[#This Row],[motorEco]]/9550</f>
        <v>137.543777349132</v>
      </c>
      <c r="J1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195.37233270431122</v>
      </c>
      <c r="K1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motorTorque="604" fuelUsageRatio="195,4"/&gt;</v>
      </c>
      <c r="L17" s="7" t="str">
        <f>IF(Table15[[#This Row],[rpm]]&lt;1,Table7[xmlComment],IF(A16&gt;Table36[normRpm],"",IF(Table15[[#This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normRpm="0,727" torque="0,958"/&gt;</v>
      </c>
      <c r="M17" s="3">
        <f>(1-(1-Table15[[#This Row],[rpm]]/Table36[idleRpm])^2)*Table7[idleT]</f>
        <v>125.56401384083048</v>
      </c>
      <c r="N17" s="3">
        <f>MAX(0,(1-Table7[f1]*(Table36[maxTRpm1]-Table15[[#This Row],[rpm]])^2)*Table36[maxT])</f>
        <v>621.66942148760324</v>
      </c>
      <c r="O17" s="3">
        <f>MAX(0,(Table36[linearDown]*(1-Table7[f2]*(Table15[[#This Row],[rpm]]-Table36[maxTRpm]))+(1-Table36[linearDown])*(1-Table7[f3]*(Table15[[#This Row],[rpm]]-Table36[maxTRpm])^2))*Table36[maxT])</f>
        <v>603.65030959752323</v>
      </c>
      <c r="P17" s="3">
        <f>MAX(0,(Table36[maxPS]-Table7[f4]*(Table15[[#This Row],[rpm]]-Table36[maxPRpm])^2)/1.36*9550/MAX(1,Table15[[#This Row],[rpm]]))</f>
        <v>587.00022977941171</v>
      </c>
      <c r="Q17" s="3">
        <f>MAX(0,Table7[Nm2]*MIN(Table36[ratedRpm]/MAX(1,Table15[[#This Row],[rpm]]),1-(MAX(0,Table15[[#This Row],[rpm]]-Table36[ratedRpm])/Table36[fadeOut])^Table36[fadeOutExp]))</f>
        <v>468.13725490196077</v>
      </c>
      <c r="R17" s="3">
        <f>(1-(1-Table15[[#This Row],[rpm]]/Table36[idleRpm])^2)*Table7[idleTEco]</f>
        <v>125.56401384083048</v>
      </c>
      <c r="S17" s="3">
        <f>MAX(0,(1-Table7[f1]*(Table36[maxTRpm1]-Table15[[#This Row],[rpm]])^2)*Table36[maxTEco])</f>
        <v>621.66942148760324</v>
      </c>
      <c r="T17" s="3">
        <f>MAX(0,(Table36[linearDown]*(1-Table7[f2Eco]*(Table15[[#This Row],[rpm]]-Table36[maxTRpm]))+(1-Table36[linearDown])*(1-Table7[f3Eco]*(Table15[[#This Row],[rpm]]-Table36[maxTRpm])^2))*Table36[maxTEco])</f>
        <v>603.65030959752323</v>
      </c>
      <c r="U17" s="3">
        <f>MAX(0,(Table36[maxPSEco]-Table7[f4Eco]*(Table15[[#This Row],[rpm]]-Table36[maxPRpm])^2)/1.36*9550/MAX(1,Table15[[#This Row],[rpm]]))</f>
        <v>587.00022977941171</v>
      </c>
      <c r="V17" s="3">
        <f>MAX(0,Table7[Nm2Eco]*MIN(Table36[ratedRpm]/MAX(1,Table15[[#This Row],[rpm]]),1-(MAX(0,Table15[[#This Row],[rpm]]-Table36[ratedRpm])/Table36[fadeOut])^Table36[fadeOutExp]))</f>
        <v>468.13725490196077</v>
      </c>
      <c r="W1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634.3644785216718</v>
      </c>
      <c r="X1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634.3644785216718</v>
      </c>
      <c r="Y17" s="3">
        <f>ABS(Table15[[#This Row],[motor]]-Table15[[#This Row],[motorEco]])</f>
        <v>0</v>
      </c>
    </row>
    <row r="18" spans="1:25" x14ac:dyDescent="0.25">
      <c r="A18" s="3">
        <v>1700</v>
      </c>
      <c r="B1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584.82910216718267</v>
      </c>
      <c r="C18" s="13"/>
      <c r="D1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584.82910216718267</v>
      </c>
      <c r="E18" s="13"/>
      <c r="F18" s="3">
        <f>Table36[Factor]*IF(Table15[[#This Row],[manualData]]&gt;0,Table15[[#This Row],[manualData]],Table15[[#This Row],[rawData]])</f>
        <v>584.82910216718267</v>
      </c>
      <c r="G18" s="3">
        <f>Table36[Factor]*IF(Table15[[#This Row],[manDataEco]]&gt;0,Table15[[#This Row],[manDataEco]],Table15[[#This Row],[rawDataEco]])</f>
        <v>584.82910216718267</v>
      </c>
      <c r="H18" s="18">
        <f>1.36*Table15[[#This Row],[rpm]]*Table15[[#This Row],[motor]]/9550</f>
        <v>141.58375750895561</v>
      </c>
      <c r="I18" s="18">
        <f>1.36*Table15[[#This Row],[rpm]]*Table15[[#This Row],[motorEco]]/9550</f>
        <v>141.58375750895561</v>
      </c>
      <c r="J1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197.72584313156239</v>
      </c>
      <c r="K1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motorTorque="585" fuelUsageRatio="197,7"/&gt;</v>
      </c>
      <c r="L18" s="7" t="str">
        <f>IF(Table15[[#This Row],[rpm]]&lt;1,Table7[xmlComment],IF(A17&gt;Table36[normRpm],"",IF(Table15[[#This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normRpm="0,773" torque="0,928"/&gt;</v>
      </c>
      <c r="M18" s="3">
        <f>(1-(1-Table15[[#This Row],[rpm]]/Table36[idleRpm])^2)*Table7[idleT]</f>
        <v>0</v>
      </c>
      <c r="N18" s="3">
        <f>MAX(0,(1-Table7[f1]*(Table36[maxTRpm1]-Table15[[#This Row],[rpm]])^2)*Table36[maxT])</f>
        <v>611.25619834710744</v>
      </c>
      <c r="O18" s="3">
        <f>MAX(0,(Table36[linearDown]*(1-Table7[f2]*(Table15[[#This Row],[rpm]]-Table36[maxTRpm]))+(1-Table36[linearDown])*(1-Table7[f3]*(Table15[[#This Row],[rpm]]-Table36[maxTRpm])^2))*Table36[maxT])</f>
        <v>584.82910216718267</v>
      </c>
      <c r="P18" s="3">
        <f>MAX(0,(Table36[maxPS]-Table7[f4]*(Table15[[#This Row],[rpm]]-Table36[maxPRpm])^2)/1.36*9550/MAX(1,Table15[[#This Row],[rpm]]))</f>
        <v>578.28719723183383</v>
      </c>
      <c r="Q18" s="3">
        <f>MAX(0,Table7[Nm2]*MIN(Table36[ratedRpm]/MAX(1,Table15[[#This Row],[rpm]]),1-(MAX(0,Table15[[#This Row],[rpm]]-Table36[ratedRpm])/Table36[fadeOut])^Table36[fadeOutExp]))</f>
        <v>468.13725490196077</v>
      </c>
      <c r="R18" s="3">
        <f>(1-(1-Table15[[#This Row],[rpm]]/Table36[idleRpm])^2)*Table7[idleTEco]</f>
        <v>0</v>
      </c>
      <c r="S18" s="3">
        <f>MAX(0,(1-Table7[f1]*(Table36[maxTRpm1]-Table15[[#This Row],[rpm]])^2)*Table36[maxTEco])</f>
        <v>611.25619834710744</v>
      </c>
      <c r="T18" s="3">
        <f>MAX(0,(Table36[linearDown]*(1-Table7[f2Eco]*(Table15[[#This Row],[rpm]]-Table36[maxTRpm]))+(1-Table36[linearDown])*(1-Table7[f3Eco]*(Table15[[#This Row],[rpm]]-Table36[maxTRpm])^2))*Table36[maxTEco])</f>
        <v>584.82910216718267</v>
      </c>
      <c r="U18" s="3">
        <f>MAX(0,(Table36[maxPSEco]-Table7[f4Eco]*(Table15[[#This Row],[rpm]]-Table36[maxPRpm])^2)/1.36*9550/MAX(1,Table15[[#This Row],[rpm]]))</f>
        <v>578.28719723183383</v>
      </c>
      <c r="V18" s="3">
        <f>MAX(0,Table7[Nm2Eco]*MIN(Table36[ratedRpm]/MAX(1,Table15[[#This Row],[rpm]]),1-(MAX(0,Table15[[#This Row],[rpm]]-Table36[ratedRpm])/Table36[fadeOut])^Table36[fadeOutExp]))</f>
        <v>468.13725490196077</v>
      </c>
      <c r="W1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597.67938444727724</v>
      </c>
      <c r="X1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597.67938444727724</v>
      </c>
      <c r="Y18" s="3">
        <f>ABS(Table15[[#This Row],[motor]]-Table15[[#This Row],[motorEco]])</f>
        <v>0</v>
      </c>
    </row>
    <row r="19" spans="1:25" x14ac:dyDescent="0.25">
      <c r="A19" s="3">
        <v>1800</v>
      </c>
      <c r="B1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562.24365325077406</v>
      </c>
      <c r="C19" s="13"/>
      <c r="D1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562.24365325077406</v>
      </c>
      <c r="E19" s="13"/>
      <c r="F19" s="3">
        <f>Table36[Factor]*IF(Table15[[#This Row],[manualData]]&gt;0,Table15[[#This Row],[manualData]],Table15[[#This Row],[rawData]])</f>
        <v>562.24365325077406</v>
      </c>
      <c r="G19" s="3">
        <f>Table36[Factor]*IF(Table15[[#This Row],[manDataEco]]&gt;0,Table15[[#This Row],[manDataEco]],Table15[[#This Row],[rawDataEco]])</f>
        <v>562.24365325077406</v>
      </c>
      <c r="H19" s="18">
        <f>1.36*Table15[[#This Row],[rpm]]*Table15[[#This Row],[motor]]/9550</f>
        <v>144.12277101129789</v>
      </c>
      <c r="I19" s="18">
        <f>1.36*Table15[[#This Row],[rpm]]*Table15[[#This Row],[motorEco]]/9550</f>
        <v>144.12277101129789</v>
      </c>
      <c r="J1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200.69869840809019</v>
      </c>
      <c r="K1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motorTorque="562" fuelUsageRatio="200,7"/&gt;</v>
      </c>
      <c r="L19" s="7" t="str">
        <f>IF(Table15[[#This Row],[rpm]]&lt;1,Table7[xmlComment],IF(A18&gt;Table36[normRpm],"",IF(Table15[[#This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normRpm="0,818" torque="0,892"/&gt;</v>
      </c>
      <c r="M19" s="3">
        <f>(1-(1-Table15[[#This Row],[rpm]]/Table36[idleRpm])^2)*Table7[idleT]</f>
        <v>-141.25951557093427</v>
      </c>
      <c r="N19" s="3">
        <f>MAX(0,(1-Table7[f1]*(Table36[maxTRpm1]-Table15[[#This Row],[rpm]])^2)*Table36[maxT])</f>
        <v>596.67768595041321</v>
      </c>
      <c r="O19" s="3">
        <f>MAX(0,(Table36[linearDown]*(1-Table7[f2]*(Table15[[#This Row],[rpm]]-Table36[maxTRpm]))+(1-Table36[linearDown])*(1-Table7[f3]*(Table15[[#This Row],[rpm]]-Table36[maxTRpm])^2))*Table36[maxT])</f>
        <v>562.24365325077406</v>
      </c>
      <c r="P19" s="3">
        <f>MAX(0,(Table36[maxPS]-Table7[f4]*(Table15[[#This Row],[rpm]]-Table36[maxPRpm])^2)/1.36*9550/MAX(1,Table15[[#This Row],[rpm]]))</f>
        <v>560.78941993464048</v>
      </c>
      <c r="Q19" s="3">
        <f>MAX(0,Table7[Nm2]*MIN(Table36[ratedRpm]/MAX(1,Table15[[#This Row],[rpm]]),1-(MAX(0,Table15[[#This Row],[rpm]]-Table36[ratedRpm])/Table36[fadeOut])^Table36[fadeOutExp]))</f>
        <v>468.13725490196077</v>
      </c>
      <c r="R19" s="3">
        <f>(1-(1-Table15[[#This Row],[rpm]]/Table36[idleRpm])^2)*Table7[idleTEco]</f>
        <v>-141.25951557093427</v>
      </c>
      <c r="S19" s="3">
        <f>MAX(0,(1-Table7[f1]*(Table36[maxTRpm1]-Table15[[#This Row],[rpm]])^2)*Table36[maxTEco])</f>
        <v>596.67768595041321</v>
      </c>
      <c r="T19" s="3">
        <f>MAX(0,(Table36[linearDown]*(1-Table7[f2Eco]*(Table15[[#This Row],[rpm]]-Table36[maxTRpm]))+(1-Table36[linearDown])*(1-Table7[f3Eco]*(Table15[[#This Row],[rpm]]-Table36[maxTRpm])^2))*Table36[maxTEco])</f>
        <v>562.24365325077406</v>
      </c>
      <c r="U19" s="3">
        <f>MAX(0,(Table36[maxPSEco]-Table7[f4Eco]*(Table15[[#This Row],[rpm]]-Table36[maxPRpm])^2)/1.36*9550/MAX(1,Table15[[#This Row],[rpm]]))</f>
        <v>560.78941993464048</v>
      </c>
      <c r="V19" s="3">
        <f>MAX(0,Table7[Nm2Eco]*MIN(Table36[ratedRpm]/MAX(1,Table15[[#This Row],[rpm]]),1-(MAX(0,Table15[[#This Row],[rpm]]-Table36[ratedRpm])/Table36[fadeOut])^Table36[fadeOutExp]))</f>
        <v>468.13725490196077</v>
      </c>
      <c r="W1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565.07041193670432</v>
      </c>
      <c r="X1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565.07041193670432</v>
      </c>
      <c r="Y19" s="3">
        <f>ABS(Table15[[#This Row],[motor]]-Table15[[#This Row],[motorEco]])</f>
        <v>0</v>
      </c>
    </row>
    <row r="20" spans="1:25" x14ac:dyDescent="0.25">
      <c r="A20" s="3">
        <v>1850</v>
      </c>
      <c r="B2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549.53933823529405</v>
      </c>
      <c r="C20" s="13"/>
      <c r="D2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549.53933823529405</v>
      </c>
      <c r="E20" s="13"/>
      <c r="F20" s="3">
        <f>Table36[Factor]*IF(Table15[[#This Row],[manualData]]&gt;0,Table15[[#This Row],[manualData]],Table15[[#This Row],[rawData]])</f>
        <v>549.53933823529405</v>
      </c>
      <c r="G20" s="3">
        <f>Table36[Factor]*IF(Table15[[#This Row],[manDataEco]]&gt;0,Table15[[#This Row],[manDataEco]],Table15[[#This Row],[rawDataEco]])</f>
        <v>549.53933823529405</v>
      </c>
      <c r="H20" s="18">
        <f>1.36*Table15[[#This Row],[rpm]]*Table15[[#This Row],[motor]]/9550</f>
        <v>144.77915968586385</v>
      </c>
      <c r="I20" s="18">
        <f>1.36*Table15[[#This Row],[rpm]]*Table15[[#This Row],[motorEco]]/9550</f>
        <v>144.77915968586385</v>
      </c>
      <c r="J2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202.41738036483281</v>
      </c>
      <c r="K2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motorTorque="550" fuelUsageRatio="202,4"/&gt;</v>
      </c>
      <c r="L20" s="7" t="str">
        <f>IF(Table15[[#This Row],[rpm]]&lt;1,Table7[xmlComment],IF(A19&gt;Table36[normRpm],"",IF(Table15[[#This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normRpm="0,841" torque="0,872"/&gt;</v>
      </c>
      <c r="M20" s="3">
        <f>(1-(1-Table15[[#This Row],[rpm]]/Table36[idleRpm])^2)*Table7[idleT]</f>
        <v>-217.77508650519013</v>
      </c>
      <c r="N20" s="3">
        <f>MAX(0,(1-Table7[f1]*(Table36[maxTRpm1]-Table15[[#This Row],[rpm]])^2)*Table36[maxT])</f>
        <v>587.82644628099172</v>
      </c>
      <c r="O20" s="3">
        <f>MAX(0,(Table36[linearDown]*(1-Table7[f2]*(Table15[[#This Row],[rpm]]-Table36[maxTRpm]))+(1-Table36[linearDown])*(1-Table7[f3]*(Table15[[#This Row],[rpm]]-Table36[maxTRpm])^2))*Table36[maxT])</f>
        <v>549.53933823529405</v>
      </c>
      <c r="P20" s="3">
        <f>MAX(0,(Table36[maxPS]-Table7[f4]*(Table15[[#This Row],[rpm]]-Table36[maxPRpm])^2)/1.36*9550/MAX(1,Table15[[#This Row],[rpm]]))</f>
        <v>549.19142488076307</v>
      </c>
      <c r="Q20" s="3">
        <f>MAX(0,Table7[Nm2]*MIN(Table36[ratedRpm]/MAX(1,Table15[[#This Row],[rpm]]),1-(MAX(0,Table15[[#This Row],[rpm]]-Table36[ratedRpm])/Table36[fadeOut])^Table36[fadeOutExp]))</f>
        <v>468.13725490196077</v>
      </c>
      <c r="R20" s="3">
        <f>(1-(1-Table15[[#This Row],[rpm]]/Table36[idleRpm])^2)*Table7[idleTEco]</f>
        <v>-217.77508650519013</v>
      </c>
      <c r="S20" s="3">
        <f>MAX(0,(1-Table7[f1]*(Table36[maxTRpm1]-Table15[[#This Row],[rpm]])^2)*Table36[maxTEco])</f>
        <v>587.82644628099172</v>
      </c>
      <c r="T20" s="3">
        <f>MAX(0,(Table36[linearDown]*(1-Table7[f2Eco]*(Table15[[#This Row],[rpm]]-Table36[maxTRpm]))+(1-Table36[linearDown])*(1-Table7[f3Eco]*(Table15[[#This Row],[rpm]]-Table36[maxTRpm])^2))*Table36[maxTEco])</f>
        <v>549.53933823529405</v>
      </c>
      <c r="U20" s="3">
        <f>MAX(0,(Table36[maxPSEco]-Table7[f4Eco]*(Table15[[#This Row],[rpm]]-Table36[maxPRpm])^2)/1.36*9550/MAX(1,Table15[[#This Row],[rpm]]))</f>
        <v>549.19142488076307</v>
      </c>
      <c r="V20" s="3">
        <f>MAX(0,Table7[Nm2Eco]*MIN(Table36[ratedRpm]/MAX(1,Table15[[#This Row],[rpm]]),1-(MAX(0,Table15[[#This Row],[rpm]]-Table36[ratedRpm])/Table36[fadeOut])^Table36[fadeOutExp]))</f>
        <v>468.13725490196077</v>
      </c>
      <c r="W2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550.08791105346825</v>
      </c>
      <c r="X2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550.08791105346825</v>
      </c>
      <c r="Y20" s="3">
        <f>ABS(Table15[[#This Row],[motor]]-Table15[[#This Row],[motorEco]])</f>
        <v>0</v>
      </c>
    </row>
    <row r="21" spans="1:25" x14ac:dyDescent="0.25">
      <c r="A21" s="3">
        <v>1900</v>
      </c>
      <c r="B2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535.89396284829718</v>
      </c>
      <c r="C21" s="13"/>
      <c r="D2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535.89396284829718</v>
      </c>
      <c r="E21" s="13"/>
      <c r="F21" s="3">
        <f>Table36[Factor]*IF(Table15[[#This Row],[manualData]]&gt;0,Table15[[#This Row],[manualData]],Table15[[#This Row],[rawData]])</f>
        <v>535.89396284829718</v>
      </c>
      <c r="G21" s="3">
        <f>Table36[Factor]*IF(Table15[[#This Row],[manDataEco]]&gt;0,Table15[[#This Row],[manDataEco]],Table15[[#This Row],[rawDataEco]])</f>
        <v>535.89396284829718</v>
      </c>
      <c r="H21" s="18">
        <f>1.36*Table15[[#This Row],[rpm]]*Table15[[#This Row],[motor]]/9550</f>
        <v>145</v>
      </c>
      <c r="I21" s="18">
        <f>1.36*Table15[[#This Row],[rpm]]*Table15[[#This Row],[motorEco]]/9550</f>
        <v>145</v>
      </c>
      <c r="J2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204.29089853389459</v>
      </c>
      <c r="K2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motorTorque="536" fuelUsageRatio="204,3"/&gt;</v>
      </c>
      <c r="L21" s="7" t="str">
        <f>IF(Table15[[#This Row],[rpm]]&lt;1,Table7[xmlComment],IF(A20&gt;Table36[normRpm],"",IF(Table15[[#This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normRpm="0,864" torque="0,851"/&gt;</v>
      </c>
      <c r="M21" s="3">
        <f>(1-(1-Table15[[#This Row],[rpm]]/Table36[idleRpm])^2)*Table7[idleT]</f>
        <v>-298.21453287197238</v>
      </c>
      <c r="N21" s="3">
        <f>MAX(0,(1-Table7[f1]*(Table36[maxTRpm1]-Table15[[#This Row],[rpm]])^2)*Table36[maxT])</f>
        <v>577.93388429752065</v>
      </c>
      <c r="O21" s="3">
        <f>MAX(0,(Table36[linearDown]*(1-Table7[f2]*(Table15[[#This Row],[rpm]]-Table36[maxTRpm]))+(1-Table36[linearDown])*(1-Table7[f3]*(Table15[[#This Row],[rpm]]-Table36[maxTRpm])^2))*Table36[maxT])</f>
        <v>535.89396284829718</v>
      </c>
      <c r="P21" s="3">
        <f>MAX(0,(Table36[maxPS]-Table7[f4]*(Table15[[#This Row],[rpm]]-Table36[maxPRpm])^2)/1.36*9550/MAX(1,Table15[[#This Row],[rpm]]))</f>
        <v>535.89396284829718</v>
      </c>
      <c r="Q21" s="3">
        <f>MAX(0,Table7[Nm2]*MIN(Table36[ratedRpm]/MAX(1,Table15[[#This Row],[rpm]]),1-(MAX(0,Table15[[#This Row],[rpm]]-Table36[ratedRpm])/Table36[fadeOut])^Table36[fadeOutExp]))</f>
        <v>468.13725490196077</v>
      </c>
      <c r="R21" s="3">
        <f>(1-(1-Table15[[#This Row],[rpm]]/Table36[idleRpm])^2)*Table7[idleTEco]</f>
        <v>-298.21453287197238</v>
      </c>
      <c r="S21" s="3">
        <f>MAX(0,(1-Table7[f1]*(Table36[maxTRpm1]-Table15[[#This Row],[rpm]])^2)*Table36[maxTEco])</f>
        <v>577.93388429752065</v>
      </c>
      <c r="T21" s="3">
        <f>MAX(0,(Table36[linearDown]*(1-Table7[f2Eco]*(Table15[[#This Row],[rpm]]-Table36[maxTRpm]))+(1-Table36[linearDown])*(1-Table7[f3Eco]*(Table15[[#This Row],[rpm]]-Table36[maxTRpm])^2))*Table36[maxTEco])</f>
        <v>535.89396284829718</v>
      </c>
      <c r="U21" s="3">
        <f>MAX(0,(Table36[maxPSEco]-Table7[f4Eco]*(Table15[[#This Row],[rpm]]-Table36[maxPRpm])^2)/1.36*9550/MAX(1,Table15[[#This Row],[rpm]]))</f>
        <v>535.89396284829718</v>
      </c>
      <c r="V21" s="3">
        <f>MAX(0,Table7[Nm2Eco]*MIN(Table36[ratedRpm]/MAX(1,Table15[[#This Row],[rpm]]),1-(MAX(0,Table15[[#This Row],[rpm]]-Table36[ratedRpm])/Table36[fadeOut])^Table36[fadeOutExp]))</f>
        <v>468.13725490196077</v>
      </c>
      <c r="W2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535.89396284829718</v>
      </c>
      <c r="X2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535.89396284829718</v>
      </c>
      <c r="Y21" s="3">
        <f>ABS(Table15[[#This Row],[motor]]-Table15[[#This Row],[motorEco]])</f>
        <v>0</v>
      </c>
    </row>
    <row r="22" spans="1:25" x14ac:dyDescent="0.25">
      <c r="A22" s="3">
        <v>1950</v>
      </c>
      <c r="B2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521.02776206636497</v>
      </c>
      <c r="C22" s="13"/>
      <c r="D2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521.02776206636497</v>
      </c>
      <c r="E22" s="13"/>
      <c r="F22" s="3">
        <f>Table36[Factor]*IF(Table15[[#This Row],[manualData]]&gt;0,Table15[[#This Row],[manualData]],Table15[[#This Row],[rawData]])</f>
        <v>521.02776206636497</v>
      </c>
      <c r="G22" s="3">
        <f>Table36[Factor]*IF(Table15[[#This Row],[manDataEco]]&gt;0,Table15[[#This Row],[manDataEco]],Table15[[#This Row],[rawDataEco]])</f>
        <v>521.02776206636497</v>
      </c>
      <c r="H22" s="18">
        <f>1.36*Table15[[#This Row],[rpm]]*Table15[[#This Row],[motor]]/9550</f>
        <v>144.6875</v>
      </c>
      <c r="I22" s="18">
        <f>1.36*Table15[[#This Row],[rpm]]*Table15[[#This Row],[motorEco]]/9550</f>
        <v>144.6875</v>
      </c>
      <c r="J2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206.31925291527554</v>
      </c>
      <c r="K2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motorTorque="521" fuelUsageRatio="206,3"/&gt;</v>
      </c>
      <c r="L22" s="7" t="str">
        <f>IF(Table15[[#This Row],[rpm]]&lt;1,Table7[xmlComment],IF(A21&gt;Table36[normRpm],"",IF(Table15[[#This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normRpm="0,886" torque="0,827"/&gt;</v>
      </c>
      <c r="M22" s="3">
        <f>(1-(1-Table15[[#This Row],[rpm]]/Table36[idleRpm])^2)*Table7[idleT]</f>
        <v>-382.57785467128008</v>
      </c>
      <c r="N22" s="3">
        <f>MAX(0,(1-Table7[f1]*(Table36[maxTRpm1]-Table15[[#This Row],[rpm]])^2)*Table36[maxT])</f>
        <v>567</v>
      </c>
      <c r="O22" s="3">
        <f>MAX(0,(Table36[linearDown]*(1-Table7[f2]*(Table15[[#This Row],[rpm]]-Table36[maxTRpm]))+(1-Table36[linearDown])*(1-Table7[f3]*(Table15[[#This Row],[rpm]]-Table36[maxTRpm])^2))*Table36[maxT])</f>
        <v>521.30752708978332</v>
      </c>
      <c r="P22" s="3">
        <f>MAX(0,(Table36[maxPS]-Table7[f4]*(Table15[[#This Row],[rpm]]-Table36[maxPRpm])^2)/1.36*9550/MAX(1,Table15[[#This Row],[rpm]]))</f>
        <v>521.02776206636497</v>
      </c>
      <c r="Q22" s="3">
        <f>MAX(0,Table7[Nm2]*MIN(Table36[ratedRpm]/MAX(1,Table15[[#This Row],[rpm]]),1-(MAX(0,Table15[[#This Row],[rpm]]-Table36[ratedRpm])/Table36[fadeOut])^Table36[fadeOutExp]))</f>
        <v>468.13725490196077</v>
      </c>
      <c r="R22" s="3">
        <f>(1-(1-Table15[[#This Row],[rpm]]/Table36[idleRpm])^2)*Table7[idleTEco]</f>
        <v>-382.57785467128008</v>
      </c>
      <c r="S22" s="3">
        <f>MAX(0,(1-Table7[f1]*(Table36[maxTRpm1]-Table15[[#This Row],[rpm]])^2)*Table36[maxTEco])</f>
        <v>567</v>
      </c>
      <c r="T22" s="3">
        <f>MAX(0,(Table36[linearDown]*(1-Table7[f2Eco]*(Table15[[#This Row],[rpm]]-Table36[maxTRpm]))+(1-Table36[linearDown])*(1-Table7[f3Eco]*(Table15[[#This Row],[rpm]]-Table36[maxTRpm])^2))*Table36[maxTEco])</f>
        <v>521.30752708978332</v>
      </c>
      <c r="U22" s="3">
        <f>MAX(0,(Table36[maxPSEco]-Table7[f4Eco]*(Table15[[#This Row],[rpm]]-Table36[maxPRpm])^2)/1.36*9550/MAX(1,Table15[[#This Row],[rpm]]))</f>
        <v>521.02776206636497</v>
      </c>
      <c r="V22" s="3">
        <f>MAX(0,Table7[Nm2Eco]*MIN(Table36[ratedRpm]/MAX(1,Table15[[#This Row],[rpm]]),1-(MAX(0,Table15[[#This Row],[rpm]]-Table36[ratedRpm])/Table36[fadeOut])^Table36[fadeOutExp]))</f>
        <v>468.13725490196077</v>
      </c>
      <c r="W2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522.15309200603315</v>
      </c>
      <c r="X2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522.15309200603315</v>
      </c>
      <c r="Y22" s="3">
        <f>ABS(Table15[[#This Row],[motor]]-Table15[[#This Row],[motorEco]])</f>
        <v>0</v>
      </c>
    </row>
    <row r="23" spans="1:25" x14ac:dyDescent="0.25">
      <c r="A23" s="3">
        <v>2000</v>
      </c>
      <c r="B2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504.71047794117646</v>
      </c>
      <c r="C23" s="13"/>
      <c r="D2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504.71047794117646</v>
      </c>
      <c r="E23" s="13"/>
      <c r="F23" s="3">
        <f>Table36[Factor]*IF(Table15[[#This Row],[manualData]]&gt;0,Table15[[#This Row],[manualData]],Table15[[#This Row],[rawData]])</f>
        <v>504.71047794117646</v>
      </c>
      <c r="G23" s="3">
        <f>Table36[Factor]*IF(Table15[[#This Row],[manDataEco]]&gt;0,Table15[[#This Row],[manDataEco]],Table15[[#This Row],[rawDataEco]])</f>
        <v>504.71047794117646</v>
      </c>
      <c r="H23" s="18">
        <f>1.36*Table15[[#This Row],[rpm]]*Table15[[#This Row],[motor]]/9550</f>
        <v>143.75</v>
      </c>
      <c r="I23" s="18">
        <f>1.36*Table15[[#This Row],[rpm]]*Table15[[#This Row],[motorEco]]/9550</f>
        <v>143.75</v>
      </c>
      <c r="J2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208.50244350897566</v>
      </c>
      <c r="K2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motorTorque="505" fuelUsageRatio="208,5"/&gt;</v>
      </c>
      <c r="L23" s="7" t="str">
        <f>IF(Table15[[#This Row],[rpm]]&lt;1,Table7[xmlComment],IF(A22&gt;Table36[normRpm],"",IF(Table15[[#This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normRpm="0,909" torque="0,801"/&gt;</v>
      </c>
      <c r="M23" s="3">
        <f>(1-(1-Table15[[#This Row],[rpm]]/Table36[idleRpm])^2)*Table7[idleT]</f>
        <v>-470.86505190311436</v>
      </c>
      <c r="N23" s="3">
        <f>MAX(0,(1-Table7[f1]*(Table36[maxTRpm1]-Table15[[#This Row],[rpm]])^2)*Table36[maxT])</f>
        <v>555.02479338842977</v>
      </c>
      <c r="O23" s="3">
        <f>MAX(0,(Table36[linearDown]*(1-Table7[f2]*(Table15[[#This Row],[rpm]]-Table36[maxTRpm]))+(1-Table36[linearDown])*(1-Table7[f3]*(Table15[[#This Row],[rpm]]-Table36[maxTRpm])^2))*Table36[maxT])</f>
        <v>505.78003095975225</v>
      </c>
      <c r="P23" s="3">
        <f>MAX(0,(Table36[maxPS]-Table7[f4]*(Table15[[#This Row],[rpm]]-Table36[maxPRpm])^2)/1.36*9550/MAX(1,Table15[[#This Row],[rpm]]))</f>
        <v>504.71047794117646</v>
      </c>
      <c r="Q23" s="3">
        <f>MAX(0,Table7[Nm2]*MIN(Table36[ratedRpm]/MAX(1,Table15[[#This Row],[rpm]]),1-(MAX(0,Table15[[#This Row],[rpm]]-Table36[ratedRpm])/Table36[fadeOut])^Table36[fadeOutExp]))</f>
        <v>468.13725490196077</v>
      </c>
      <c r="R23" s="3">
        <f>(1-(1-Table15[[#This Row],[rpm]]/Table36[idleRpm])^2)*Table7[idleTEco]</f>
        <v>-470.86505190311436</v>
      </c>
      <c r="S23" s="3">
        <f>MAX(0,(1-Table7[f1]*(Table36[maxTRpm1]-Table15[[#This Row],[rpm]])^2)*Table36[maxTEco])</f>
        <v>555.02479338842977</v>
      </c>
      <c r="T23" s="3">
        <f>MAX(0,(Table36[linearDown]*(1-Table7[f2Eco]*(Table15[[#This Row],[rpm]]-Table36[maxTRpm]))+(1-Table36[linearDown])*(1-Table7[f3Eco]*(Table15[[#This Row],[rpm]]-Table36[maxTRpm])^2))*Table36[maxTEco])</f>
        <v>505.78003095975225</v>
      </c>
      <c r="U23" s="3">
        <f>MAX(0,(Table36[maxPSEco]-Table7[f4Eco]*(Table15[[#This Row],[rpm]]-Table36[maxPRpm])^2)/1.36*9550/MAX(1,Table15[[#This Row],[rpm]]))</f>
        <v>504.71047794117646</v>
      </c>
      <c r="V23" s="3">
        <f>MAX(0,Table7[Nm2Eco]*MIN(Table36[ratedRpm]/MAX(1,Table15[[#This Row],[rpm]]),1-(MAX(0,Table15[[#This Row],[rpm]]-Table36[ratedRpm])/Table36[fadeOut])^Table36[fadeOutExp]))</f>
        <v>468.13725490196077</v>
      </c>
      <c r="W2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509.09926470588232</v>
      </c>
      <c r="X2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509.09926470588232</v>
      </c>
      <c r="Y23" s="3">
        <f>ABS(Table15[[#This Row],[motor]]-Table15[[#This Row],[motorEco]])</f>
        <v>0</v>
      </c>
    </row>
    <row r="24" spans="1:25" x14ac:dyDescent="0.25">
      <c r="A24" s="3">
        <v>2050</v>
      </c>
      <c r="B2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487.04828730272595</v>
      </c>
      <c r="C24" s="13"/>
      <c r="D2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487.04828730272595</v>
      </c>
      <c r="E24" s="13"/>
      <c r="F24" s="3">
        <f>Table36[Factor]*IF(Table15[[#This Row],[manualData]]&gt;0,Table15[[#This Row],[manualData]],Table15[[#This Row],[rawData]])</f>
        <v>487.04828730272595</v>
      </c>
      <c r="G24" s="3">
        <f>Table36[Factor]*IF(Table15[[#This Row],[manDataEco]]&gt;0,Table15[[#This Row],[manDataEco]],Table15[[#This Row],[rawDataEco]])</f>
        <v>487.04828730272595</v>
      </c>
      <c r="H24" s="18">
        <f>1.36*Table15[[#This Row],[rpm]]*Table15[[#This Row],[motor]]/9550</f>
        <v>142.1875</v>
      </c>
      <c r="I24" s="18">
        <f>1.36*Table15[[#This Row],[rpm]]*Table15[[#This Row],[motorEco]]/9550</f>
        <v>142.1875</v>
      </c>
      <c r="J2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210.84047031499489</v>
      </c>
      <c r="K2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motorTorque="487" fuelUsageRatio="210,8"/&gt;</v>
      </c>
      <c r="L24" s="7" t="str">
        <f>IF(Table15[[#This Row],[rpm]]&lt;1,Table7[xmlComment],IF(A23&gt;Table36[normRpm],"",IF(Table15[[#This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normRpm="0,932" torque="0,773"/&gt;</v>
      </c>
      <c r="M24" s="3">
        <f>(1-(1-Table15[[#This Row],[rpm]]/Table36[idleRpm])^2)*Table7[idleT]</f>
        <v>-563.07612456747381</v>
      </c>
      <c r="N24" s="3">
        <f>MAX(0,(1-Table7[f1]*(Table36[maxTRpm1]-Table15[[#This Row],[rpm]])^2)*Table36[maxT])</f>
        <v>542.00826446280996</v>
      </c>
      <c r="O24" s="3">
        <f>MAX(0,(Table36[linearDown]*(1-Table7[f2]*(Table15[[#This Row],[rpm]]-Table36[maxTRpm]))+(1-Table36[linearDown])*(1-Table7[f3]*(Table15[[#This Row],[rpm]]-Table36[maxTRpm])^2))*Table36[maxT])</f>
        <v>489.31147445820432</v>
      </c>
      <c r="P24" s="3">
        <f>MAX(0,(Table36[maxPS]-Table7[f4]*(Table15[[#This Row],[rpm]]-Table36[maxPRpm])^2)/1.36*9550/MAX(1,Table15[[#This Row],[rpm]]))</f>
        <v>487.04828730272595</v>
      </c>
      <c r="Q24" s="3">
        <f>MAX(0,Table7[Nm2]*MIN(Table36[ratedRpm]/MAX(1,Table15[[#This Row],[rpm]]),1-(MAX(0,Table15[[#This Row],[rpm]]-Table36[ratedRpm])/Table36[fadeOut])^Table36[fadeOutExp]))</f>
        <v>468.13725490196077</v>
      </c>
      <c r="R24" s="3">
        <f>(1-(1-Table15[[#This Row],[rpm]]/Table36[idleRpm])^2)*Table7[idleTEco]</f>
        <v>-563.07612456747381</v>
      </c>
      <c r="S24" s="3">
        <f>MAX(0,(1-Table7[f1]*(Table36[maxTRpm1]-Table15[[#This Row],[rpm]])^2)*Table36[maxTEco])</f>
        <v>542.00826446280996</v>
      </c>
      <c r="T24" s="3">
        <f>MAX(0,(Table36[linearDown]*(1-Table7[f2Eco]*(Table15[[#This Row],[rpm]]-Table36[maxTRpm]))+(1-Table36[linearDown])*(1-Table7[f3Eco]*(Table15[[#This Row],[rpm]]-Table36[maxTRpm])^2))*Table36[maxTEco])</f>
        <v>489.31147445820432</v>
      </c>
      <c r="U24" s="3">
        <f>MAX(0,(Table36[maxPSEco]-Table7[f4Eco]*(Table15[[#This Row],[rpm]]-Table36[maxPRpm])^2)/1.36*9550/MAX(1,Table15[[#This Row],[rpm]]))</f>
        <v>487.04828730272595</v>
      </c>
      <c r="V24" s="3">
        <f>MAX(0,Table7[Nm2Eco]*MIN(Table36[ratedRpm]/MAX(1,Table15[[#This Row],[rpm]]),1-(MAX(0,Table15[[#This Row],[rpm]]-Table36[ratedRpm])/Table36[fadeOut])^Table36[fadeOutExp]))</f>
        <v>468.13725490196077</v>
      </c>
      <c r="W2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496.68220946915346</v>
      </c>
      <c r="X2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496.68220946915346</v>
      </c>
      <c r="Y24" s="3">
        <f>ABS(Table15[[#This Row],[motor]]-Table15[[#This Row],[motorEco]])</f>
        <v>0</v>
      </c>
    </row>
    <row r="25" spans="1:25" x14ac:dyDescent="0.25">
      <c r="A25" s="3">
        <v>2100</v>
      </c>
      <c r="B2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468.13725490196077</v>
      </c>
      <c r="C25" s="13"/>
      <c r="D2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468.13725490196077</v>
      </c>
      <c r="E25" s="13"/>
      <c r="F25" s="3">
        <f>Table36[Factor]*IF(Table15[[#This Row],[manualData]]&gt;0,Table15[[#This Row],[manualData]],Table15[[#This Row],[rawData]])</f>
        <v>468.13725490196077</v>
      </c>
      <c r="G25" s="3">
        <f>Table36[Factor]*IF(Table15[[#This Row],[manDataEco]]&gt;0,Table15[[#This Row],[manDataEco]],Table15[[#This Row],[rawDataEco]])</f>
        <v>468.13725490196077</v>
      </c>
      <c r="H25" s="18">
        <f>1.36*Table15[[#This Row],[rpm]]*Table15[[#This Row],[motor]]/9550</f>
        <v>140</v>
      </c>
      <c r="I25" s="18">
        <f>1.36*Table15[[#This Row],[rpm]]*Table15[[#This Row],[motorEco]]/9550</f>
        <v>140</v>
      </c>
      <c r="J2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213.33333333333331</v>
      </c>
      <c r="K2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motorTorque="468" fuelUsageRatio="213,3"/&gt;</v>
      </c>
      <c r="L25" s="7" t="str">
        <f>IF(Table15[[#This Row],[rpm]]&lt;1,Table7[xmlComment],IF(A24&gt;Table36[normRpm],"",IF(Table15[[#This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normRpm="0,955" torque="0,743"/&gt;</v>
      </c>
      <c r="M25" s="3">
        <f>(1-(1-Table15[[#This Row],[rpm]]/Table36[idleRpm])^2)*Table7[idleT]</f>
        <v>-659.21107266436013</v>
      </c>
      <c r="N25" s="3">
        <f>MAX(0,(1-Table7[f1]*(Table36[maxTRpm1]-Table15[[#This Row],[rpm]])^2)*Table36[maxT])</f>
        <v>527.95041322314046</v>
      </c>
      <c r="O25" s="3">
        <f>MAX(0,(Table36[linearDown]*(1-Table7[f2]*(Table15[[#This Row],[rpm]]-Table36[maxTRpm]))+(1-Table36[linearDown])*(1-Table7[f3]*(Table15[[#This Row],[rpm]]-Table36[maxTRpm])^2))*Table36[maxT])</f>
        <v>471.90185758513928</v>
      </c>
      <c r="P25" s="3">
        <f>MAX(0,(Table36[maxPS]-Table7[f4]*(Table15[[#This Row],[rpm]]-Table36[maxPRpm])^2)/1.36*9550/MAX(1,Table15[[#This Row],[rpm]]))</f>
        <v>468.13725490196077</v>
      </c>
      <c r="Q25" s="3">
        <f>MAX(0,Table7[Nm2]*MIN(Table36[ratedRpm]/MAX(1,Table15[[#This Row],[rpm]]),1-(MAX(0,Table15[[#This Row],[rpm]]-Table36[ratedRpm])/Table36[fadeOut])^Table36[fadeOutExp]))</f>
        <v>468.13725490196077</v>
      </c>
      <c r="R25" s="3">
        <f>(1-(1-Table15[[#This Row],[rpm]]/Table36[idleRpm])^2)*Table7[idleTEco]</f>
        <v>-659.21107266436013</v>
      </c>
      <c r="S25" s="3">
        <f>MAX(0,(1-Table7[f1]*(Table36[maxTRpm1]-Table15[[#This Row],[rpm]])^2)*Table36[maxTEco])</f>
        <v>527.95041322314046</v>
      </c>
      <c r="T25" s="3">
        <f>MAX(0,(Table36[linearDown]*(1-Table7[f2Eco]*(Table15[[#This Row],[rpm]]-Table36[maxTRpm]))+(1-Table36[linearDown])*(1-Table7[f3Eco]*(Table15[[#This Row],[rpm]]-Table36[maxTRpm])^2))*Table36[maxTEco])</f>
        <v>471.90185758513928</v>
      </c>
      <c r="U25" s="3">
        <f>MAX(0,(Table36[maxPSEco]-Table7[f4Eco]*(Table15[[#This Row],[rpm]]-Table36[maxPRpm])^2)/1.36*9550/MAX(1,Table15[[#This Row],[rpm]]))</f>
        <v>468.13725490196077</v>
      </c>
      <c r="V25" s="3">
        <f>MAX(0,Table7[Nm2Eco]*MIN(Table36[ratedRpm]/MAX(1,Table15[[#This Row],[rpm]]),1-(MAX(0,Table15[[#This Row],[rpm]]-Table36[ratedRpm])/Table36[fadeOut])^Table36[fadeOutExp]))</f>
        <v>468.13725490196077</v>
      </c>
      <c r="W2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484.85644257703075</v>
      </c>
      <c r="X2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484.85644257703075</v>
      </c>
      <c r="Y25" s="3">
        <f>ABS(Table15[[#This Row],[motor]]-Table15[[#This Row],[motorEco]])</f>
        <v>0</v>
      </c>
    </row>
    <row r="26" spans="1:25" x14ac:dyDescent="0.25">
      <c r="A26" s="3">
        <v>2150</v>
      </c>
      <c r="B2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425.76345385232145</v>
      </c>
      <c r="C26" s="13"/>
      <c r="D2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425.76345385232145</v>
      </c>
      <c r="E26" s="13"/>
      <c r="F26" s="3">
        <f>Table36[Factor]*IF(Table15[[#This Row],[manualData]]&gt;0,Table15[[#This Row],[manualData]],Table15[[#This Row],[rawData]])</f>
        <v>425.76345385232145</v>
      </c>
      <c r="G26" s="3">
        <f>Table36[Factor]*IF(Table15[[#This Row],[manDataEco]]&gt;0,Table15[[#This Row],[manDataEco]],Table15[[#This Row],[rawDataEco]])</f>
        <v>425.76345385232145</v>
      </c>
      <c r="H26" s="18">
        <f>1.36*Table15[[#This Row],[rpm]]*Table15[[#This Row],[motor]]/9550</f>
        <v>130.35940723185212</v>
      </c>
      <c r="I26" s="18">
        <f>1.36*Table15[[#This Row],[rpm]]*Table15[[#This Row],[motorEco]]/9550</f>
        <v>130.35940723185212</v>
      </c>
      <c r="J2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274.90862691415748</v>
      </c>
      <c r="K2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motorTorque="426" fuelUsageRatio="274,9"/&gt;</v>
      </c>
      <c r="L26" s="7" t="str">
        <f>IF(Table15[[#This Row],[rpm]]&lt;1,Table7[xmlComment],IF(A25&gt;Table36[normRpm],"",IF(Table15[[#This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normRpm="0,977" torque="0,676"/&gt;</v>
      </c>
      <c r="M26" s="3">
        <f>(1-(1-Table15[[#This Row],[rpm]]/Table36[idleRpm])^2)*Table7[idleT]</f>
        <v>-759.2698961937715</v>
      </c>
      <c r="N26" s="3">
        <f>MAX(0,(1-Table7[f1]*(Table36[maxTRpm1]-Table15[[#This Row],[rpm]])^2)*Table36[maxT])</f>
        <v>512.85123966942149</v>
      </c>
      <c r="O26" s="3">
        <f>MAX(0,(Table36[linearDown]*(1-Table7[f2]*(Table15[[#This Row],[rpm]]-Table36[maxTRpm]))+(1-Table36[linearDown])*(1-Table7[f3]*(Table15[[#This Row],[rpm]]-Table36[maxTRpm])^2))*Table36[maxT])</f>
        <v>453.55118034055721</v>
      </c>
      <c r="P26" s="3">
        <f>MAX(0,(Table36[maxPS]-Table7[f4]*(Table15[[#This Row],[rpm]]-Table36[maxPRpm])^2)/1.36*9550/MAX(1,Table15[[#This Row],[rpm]]))</f>
        <v>448.06450923392606</v>
      </c>
      <c r="Q26" s="3">
        <f>MAX(0,Table7[Nm2]*MIN(Table36[ratedRpm]/MAX(1,Table15[[#This Row],[rpm]]),1-(MAX(0,Table15[[#This Row],[rpm]]-Table36[ratedRpm])/Table36[fadeOut])^Table36[fadeOutExp]))</f>
        <v>425.76345385232145</v>
      </c>
      <c r="R26" s="3">
        <f>(1-(1-Table15[[#This Row],[rpm]]/Table36[idleRpm])^2)*Table7[idleTEco]</f>
        <v>-759.2698961937715</v>
      </c>
      <c r="S26" s="3">
        <f>MAX(0,(1-Table7[f1]*(Table36[maxTRpm1]-Table15[[#This Row],[rpm]])^2)*Table36[maxTEco])</f>
        <v>512.85123966942149</v>
      </c>
      <c r="T26" s="3">
        <f>MAX(0,(Table36[linearDown]*(1-Table7[f2Eco]*(Table15[[#This Row],[rpm]]-Table36[maxTRpm]))+(1-Table36[linearDown])*(1-Table7[f3Eco]*(Table15[[#This Row],[rpm]]-Table36[maxTRpm])^2))*Table36[maxTEco])</f>
        <v>453.55118034055721</v>
      </c>
      <c r="U26" s="3">
        <f>MAX(0,(Table36[maxPSEco]-Table7[f4Eco]*(Table15[[#This Row],[rpm]]-Table36[maxPRpm])^2)/1.36*9550/MAX(1,Table15[[#This Row],[rpm]]))</f>
        <v>448.06450923392606</v>
      </c>
      <c r="V26" s="3">
        <f>MAX(0,Table7[Nm2Eco]*MIN(Table36[ratedRpm]/MAX(1,Table15[[#This Row],[rpm]]),1-(MAX(0,Table15[[#This Row],[rpm]]-Table36[ratedRpm])/Table36[fadeOut])^Table36[fadeOutExp]))</f>
        <v>425.76345385232145</v>
      </c>
      <c r="W2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473.58071135430913</v>
      </c>
      <c r="X2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473.58071135430913</v>
      </c>
      <c r="Y26" s="3">
        <f>ABS(Table15[[#This Row],[motor]]-Table15[[#This Row],[motorEco]])</f>
        <v>0</v>
      </c>
    </row>
    <row r="27" spans="1:25" x14ac:dyDescent="0.25">
      <c r="A27" s="3">
        <v>2200</v>
      </c>
      <c r="B2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273.43839265919127</v>
      </c>
      <c r="C27" s="13"/>
      <c r="D2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273.43839265919127</v>
      </c>
      <c r="E27" s="13"/>
      <c r="F27" s="3">
        <f>Table36[Factor]*IF(Table15[[#This Row],[manualData]]&gt;0,Table15[[#This Row],[manualData]],Table15[[#This Row],[rawData]])</f>
        <v>273.43839265919127</v>
      </c>
      <c r="G27" s="3">
        <f>Table36[Factor]*IF(Table15[[#This Row],[manDataEco]]&gt;0,Table15[[#This Row],[manDataEco]],Table15[[#This Row],[rawDataEco]])</f>
        <v>273.43839265919127</v>
      </c>
      <c r="H27" s="3">
        <f>1.36*Table15[[#This Row],[rpm]]*Table15[[#This Row],[motor]]/9550</f>
        <v>85.667818935738239</v>
      </c>
      <c r="I27" s="3">
        <f>1.36*Table15[[#This Row],[rpm]]*Table15[[#This Row],[motorEco]]/9550</f>
        <v>85.667818935738239</v>
      </c>
      <c r="J2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438.00742977297227</v>
      </c>
      <c r="K2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motorTorque="273" fuelUsageRatio="438"/&gt;</v>
      </c>
      <c r="L27" s="7" t="str">
        <f>IF(Table15[[#This Row],[rpm]]&lt;1,Table7[xmlComment],IF(A26&gt;Table36[normRpm],"",IF(Table15[[#This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normRpm="0,999" torque="0,434"/&gt;</v>
      </c>
      <c r="M27" s="3">
        <f>(1-(1-Table15[[#This Row],[rpm]]/Table36[idleRpm])^2)*Table7[idleT]</f>
        <v>-863.25259515570951</v>
      </c>
      <c r="N27" s="3">
        <f>MAX(0,(1-Table7[f1]*(Table36[maxTRpm1]-Table15[[#This Row],[rpm]])^2)*Table36[maxT])</f>
        <v>496.71074380165294</v>
      </c>
      <c r="O27" s="3">
        <f>MAX(0,(Table36[linearDown]*(1-Table7[f2]*(Table15[[#This Row],[rpm]]-Table36[maxTRpm]))+(1-Table36[linearDown])*(1-Table7[f3]*(Table15[[#This Row],[rpm]]-Table36[maxTRpm])^2))*Table36[maxT])</f>
        <v>434.2594427244581</v>
      </c>
      <c r="P27" s="3">
        <f>MAX(0,(Table36[maxPS]-Table7[f4]*(Table15[[#This Row],[rpm]]-Table36[maxPRpm])^2)/1.36*9550/MAX(1,Table15[[#This Row],[rpm]]))</f>
        <v>426.90925802139037</v>
      </c>
      <c r="Q27" s="3">
        <f>MAX(0,Table7[Nm2]*MIN(Table36[ratedRpm]/MAX(1,Table15[[#This Row],[rpm]]),1-(MAX(0,Table15[[#This Row],[rpm]]-Table36[ratedRpm])/Table36[fadeOut])^Table36[fadeOutExp]))</f>
        <v>273.43839265919127</v>
      </c>
      <c r="R27" s="3">
        <f>(1-(1-Table15[[#This Row],[rpm]]/Table36[idleRpm])^2)*Table7[idleTEco]</f>
        <v>-863.25259515570951</v>
      </c>
      <c r="S27" s="3">
        <f>MAX(0,(1-Table7[f1]*(Table36[maxTRpm1]-Table15[[#This Row],[rpm]])^2)*Table36[maxTEco])</f>
        <v>496.71074380165294</v>
      </c>
      <c r="T27" s="3">
        <f>MAX(0,(Table36[linearDown]*(1-Table7[f2Eco]*(Table15[[#This Row],[rpm]]-Table36[maxTRpm]))+(1-Table36[linearDown])*(1-Table7[f3Eco]*(Table15[[#This Row],[rpm]]-Table36[maxTRpm])^2))*Table36[maxTEco])</f>
        <v>434.2594427244581</v>
      </c>
      <c r="U27" s="3">
        <f>MAX(0,(Table36[maxPSEco]-Table7[f4Eco]*(Table15[[#This Row],[rpm]]-Table36[maxPRpm])^2)/1.36*9550/MAX(1,Table15[[#This Row],[rpm]]))</f>
        <v>426.90925802139037</v>
      </c>
      <c r="V27" s="3">
        <f>MAX(0,Table7[Nm2Eco]*MIN(Table36[ratedRpm]/MAX(1,Table15[[#This Row],[rpm]]),1-(MAX(0,Table15[[#This Row],[rpm]]-Table36[ratedRpm])/Table36[fadeOut])^Table36[fadeOutExp]))</f>
        <v>273.43839265919127</v>
      </c>
      <c r="W2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462.8175133689839</v>
      </c>
      <c r="X2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462.8175133689839</v>
      </c>
      <c r="Y27" s="3">
        <f>ABS(Table15[[#This Row],[motor]]-Table15[[#This Row],[motorEco]])</f>
        <v>0</v>
      </c>
    </row>
    <row r="28" spans="1:25" x14ac:dyDescent="0.25">
      <c r="A28" s="3">
        <v>2250</v>
      </c>
      <c r="B2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8" s="13"/>
      <c r="D2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8" s="13"/>
      <c r="F28" s="3">
        <f>Table36[Factor]*IF(Table15[[#This Row],[manualData]]&gt;0,Table15[[#This Row],[manualData]],Table15[[#This Row],[rawData]])</f>
        <v>0</v>
      </c>
      <c r="G28" s="3">
        <f>Table36[Factor]*IF(Table15[[#This Row],[manDataEco]]&gt;0,Table15[[#This Row],[manDataEco]],Table15[[#This Row],[rawDataEco]])</f>
        <v>0</v>
      </c>
      <c r="H28" s="3">
        <f>1.36*Table15[[#This Row],[rpm]]*Table15[[#This Row],[motor]]/9550</f>
        <v>0</v>
      </c>
      <c r="I28" s="3">
        <f>1.36*Table15[[#This Row],[rpm]]*Table15[[#This Row],[motorEco]]/9550</f>
        <v>0</v>
      </c>
      <c r="J2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2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motorTorque="0" fuelUsageRatio="0"/&gt;</v>
      </c>
      <c r="L28" s="7" t="str">
        <f>IF(Table15[[#This Row],[rpm]]&lt;1,Table7[xmlComment],IF(A27&gt;Table36[normRpm],"",IF(Table15[[#This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normRpm="1" torque="0"/&gt;</v>
      </c>
      <c r="M28" s="3">
        <f>(1-(1-Table15[[#This Row],[rpm]]/Table36[idleRpm])^2)*Table7[idleT]</f>
        <v>-971.15916955017292</v>
      </c>
      <c r="N28" s="3">
        <f>MAX(0,(1-Table7[f1]*(Table36[maxTRpm1]-Table15[[#This Row],[rpm]])^2)*Table36[maxT])</f>
        <v>479.52892561983475</v>
      </c>
      <c r="O28" s="3">
        <f>MAX(0,(Table36[linearDown]*(1-Table7[f2]*(Table15[[#This Row],[rpm]]-Table36[maxTRpm]))+(1-Table36[linearDown])*(1-Table7[f3]*(Table15[[#This Row],[rpm]]-Table36[maxTRpm])^2))*Table36[maxT])</f>
        <v>414.026644736842</v>
      </c>
      <c r="P28" s="3">
        <f>MAX(0,(Table36[maxPS]-Table7[f4]*(Table15[[#This Row],[rpm]]-Table36[maxPRpm])^2)/1.36*9550/MAX(1,Table15[[#This Row],[rpm]]))</f>
        <v>404.74366830065355</v>
      </c>
      <c r="Q28" s="3">
        <f>MAX(0,Table7[Nm2]*MIN(Table36[ratedRpm]/MAX(1,Table15[[#This Row],[rpm]]),1-(MAX(0,Table15[[#This Row],[rpm]]-Table36[ratedRpm])/Table36[fadeOut])^Table36[fadeOutExp]))</f>
        <v>0</v>
      </c>
      <c r="R28" s="3">
        <f>(1-(1-Table15[[#This Row],[rpm]]/Table36[idleRpm])^2)*Table7[idleTEco]</f>
        <v>-971.15916955017292</v>
      </c>
      <c r="S28" s="3">
        <f>MAX(0,(1-Table7[f1]*(Table36[maxTRpm1]-Table15[[#This Row],[rpm]])^2)*Table36[maxTEco])</f>
        <v>479.52892561983475</v>
      </c>
      <c r="T28" s="3">
        <f>MAX(0,(Table36[linearDown]*(1-Table7[f2Eco]*(Table15[[#This Row],[rpm]]-Table36[maxTRpm]))+(1-Table36[linearDown])*(1-Table7[f3Eco]*(Table15[[#This Row],[rpm]]-Table36[maxTRpm])^2))*Table36[maxTEco])</f>
        <v>414.026644736842</v>
      </c>
      <c r="U28" s="3">
        <f>MAX(0,(Table36[maxPSEco]-Table7[f4Eco]*(Table15[[#This Row],[rpm]]-Table36[maxPRpm])^2)/1.36*9550/MAX(1,Table15[[#This Row],[rpm]]))</f>
        <v>404.74366830065355</v>
      </c>
      <c r="V28" s="3">
        <f>MAX(0,Table7[Nm2Eco]*MIN(Table36[ratedRpm]/MAX(1,Table15[[#This Row],[rpm]]),1-(MAX(0,Table15[[#This Row],[rpm]]-Table36[ratedRpm])/Table36[fadeOut])^Table36[fadeOutExp]))</f>
        <v>0</v>
      </c>
      <c r="W2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452.53267973856202</v>
      </c>
      <c r="X2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452.53267973856202</v>
      </c>
      <c r="Y28" s="3">
        <f>ABS(Table15[[#This Row],[motor]]-Table15[[#This Row],[motorEco]])</f>
        <v>0</v>
      </c>
    </row>
    <row r="29" spans="1:25" x14ac:dyDescent="0.25">
      <c r="A29" s="3">
        <v>2300</v>
      </c>
      <c r="B2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9" s="13"/>
      <c r="D2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9" s="13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2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motorTorque="0" fuelUsageRatio="0"/&gt;</v>
      </c>
      <c r="L29" s="7" t="str">
        <f>IF(Table15[[#This Row],[rpm]]&lt;1,Table7[xmlComment],IF(A28&gt;Table36[normRpm],"",IF(Table15[[#This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29" s="3">
        <f>(1-(1-Table15[[#This Row],[rpm]]/Table36[idleRpm])^2)*Table7[idleT]</f>
        <v>-1082.9896193771629</v>
      </c>
      <c r="N29" s="3">
        <f>MAX(0,(1-Table7[f1]*(Table36[maxTRpm1]-Table15[[#This Row],[rpm]])^2)*Table36[maxT])</f>
        <v>461.30578512396698</v>
      </c>
      <c r="O29" s="3">
        <f>MAX(0,(Table36[linearDown]*(1-Table7[f2]*(Table15[[#This Row],[rpm]]-Table36[maxTRpm]))+(1-Table36[linearDown])*(1-Table7[f3]*(Table15[[#This Row],[rpm]]-Table36[maxTRpm])^2))*Table36[maxT])</f>
        <v>392.85278637770887</v>
      </c>
      <c r="P29" s="3">
        <f>MAX(0,(Table36[maxPS]-Table7[f4]*(Table15[[#This Row],[rpm]]-Table36[maxPRpm])^2)/1.36*9550/MAX(1,Table15[[#This Row],[rpm]]))</f>
        <v>381.63363171355496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-1082.9896193771629</v>
      </c>
      <c r="S29" s="3">
        <f>MAX(0,(1-Table7[f1]*(Table36[maxTRpm1]-Table15[[#This Row],[rpm]])^2)*Table36[maxTEco])</f>
        <v>461.30578512396698</v>
      </c>
      <c r="T29" s="3">
        <f>MAX(0,(Table36[linearDown]*(1-Table7[f2Eco]*(Table15[[#This Row],[rpm]]-Table36[maxTRpm]))+(1-Table36[linearDown])*(1-Table7[f3Eco]*(Table15[[#This Row],[rpm]]-Table36[maxTRpm])^2))*Table36[maxTEco])</f>
        <v>392.85278637770887</v>
      </c>
      <c r="U29" s="3">
        <f>MAX(0,(Table36[maxPSEco]-Table7[f4Eco]*(Table15[[#This Row],[rpm]]-Table36[maxPRpm])^2)/1.36*9550/MAX(1,Table15[[#This Row],[rpm]]))</f>
        <v>381.63363171355496</v>
      </c>
      <c r="V29" s="3">
        <f>MAX(0,Table7[Nm2Eco]*MIN(Table36[ratedRpm]/MAX(1,Table15[[#This Row],[rpm]]),1-(MAX(0,Table15[[#This Row],[rpm]]-Table36[ratedRpm])/Table36[fadeOut])^Table36[fadeOutExp]))</f>
        <v>0</v>
      </c>
      <c r="W2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442.69501278772373</v>
      </c>
      <c r="X2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442.69501278772373</v>
      </c>
      <c r="Y29" s="3">
        <f>ABS(Table15[[#This Row],[motor]]-Table15[[#This Row],[motorEco]])</f>
        <v>0</v>
      </c>
    </row>
    <row r="30" spans="1:25" x14ac:dyDescent="0.25">
      <c r="A30" s="3">
        <v>2350</v>
      </c>
      <c r="B3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13"/>
      <c r="D3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13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0" s="7" t="str">
        <f>IF(Table15[[#This Row],[rpm]]&lt;1,Table7[xmlComment],IF(A29&gt;Table36[normRpm],"",IF(Table15[[#This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0" s="3">
        <f>(1-(1-Table15[[#This Row],[rpm]]/Table36[idleRpm])^2)*Table7[idleT]</f>
        <v>-1198.743944636678</v>
      </c>
      <c r="N30" s="3">
        <f>MAX(0,(1-Table7[f1]*(Table36[maxTRpm1]-Table15[[#This Row],[rpm]])^2)*Table36[maxT])</f>
        <v>442.04132231404969</v>
      </c>
      <c r="O30" s="3">
        <f>MAX(0,(Table36[linearDown]*(1-Table7[f2]*(Table15[[#This Row],[rpm]]-Table36[maxTRpm]))+(1-Table36[linearDown])*(1-Table7[f3]*(Table15[[#This Row],[rpm]]-Table36[maxTRpm])^2))*Table36[maxT])</f>
        <v>370.73786764705869</v>
      </c>
      <c r="P30" s="3">
        <f>MAX(0,(Table36[maxPS]-Table7[f4]*(Table15[[#This Row],[rpm]]-Table36[maxPRpm])^2)/1.36*9550/MAX(1,Table15[[#This Row],[rpm]]))</f>
        <v>357.63943210262823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-1198.743944636678</v>
      </c>
      <c r="S30" s="3">
        <f>MAX(0,(1-Table7[f1]*(Table36[maxTRpm1]-Table15[[#This Row],[rpm]])^2)*Table36[maxTEco])</f>
        <v>442.04132231404969</v>
      </c>
      <c r="T30" s="3">
        <f>MAX(0,(Table36[linearDown]*(1-Table7[f2Eco]*(Table15[[#This Row],[rpm]]-Table36[maxTRpm]))+(1-Table36[linearDown])*(1-Table7[f3Eco]*(Table15[[#This Row],[rpm]]-Table36[maxTRpm])^2))*Table36[maxTEco])</f>
        <v>370.73786764705869</v>
      </c>
      <c r="U30" s="3">
        <f>MAX(0,(Table36[maxPSEco]-Table7[f4Eco]*(Table15[[#This Row],[rpm]]-Table36[maxPRpm])^2)/1.36*9550/MAX(1,Table15[[#This Row],[rpm]]))</f>
        <v>357.63943210262823</v>
      </c>
      <c r="V30" s="3">
        <f>MAX(0,Table7[Nm2Eco]*MIN(Table36[ratedRpm]/MAX(1,Table15[[#This Row],[rpm]]),1-(MAX(0,Table15[[#This Row],[rpm]]-Table36[ratedRpm])/Table36[fadeOut])^Table36[fadeOutExp]))</f>
        <v>0</v>
      </c>
      <c r="W3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433.27596996245302</v>
      </c>
      <c r="X3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433.27596996245302</v>
      </c>
      <c r="Y30" s="3">
        <f>ABS(Table15[[#This Row],[motor]]-Table15[[#This Row],[motorEco]])</f>
        <v>0</v>
      </c>
    </row>
    <row r="31" spans="1:25" x14ac:dyDescent="0.25">
      <c r="A31" s="3">
        <v>2400</v>
      </c>
      <c r="B3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13"/>
      <c r="D3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13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1" s="7" t="str">
        <f>IF(Table15[[#This Row],[rpm]]&lt;1,Table7[xmlComment],IF(A30&gt;Table36[normRpm],"",IF(Table15[[#This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1" s="3">
        <f>(1-(1-Table15[[#This Row],[rpm]]/Table36[idleRpm])^2)*Table7[idleT]</f>
        <v>-1318.42214532872</v>
      </c>
      <c r="N31" s="3">
        <f>MAX(0,(1-Table7[f1]*(Table36[maxTRpm1]-Table15[[#This Row],[rpm]])^2)*Table36[maxT])</f>
        <v>421.73553719008265</v>
      </c>
      <c r="O31" s="3">
        <f>MAX(0,(Table36[linearDown]*(1-Table7[f2]*(Table15[[#This Row],[rpm]]-Table36[maxTRpm]))+(1-Table36[linearDown])*(1-Table7[f3]*(Table15[[#This Row],[rpm]]-Table36[maxTRpm])^2))*Table36[maxT])</f>
        <v>347.68188854489148</v>
      </c>
      <c r="P31" s="3">
        <f>MAX(0,(Table36[maxPS]-Table7[f4]*(Table15[[#This Row],[rpm]]-Table36[maxPRpm])^2)/1.36*9550/MAX(1,Table15[[#This Row],[rpm]]))</f>
        <v>332.81632965686276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-1318.42214532872</v>
      </c>
      <c r="S31" s="3">
        <f>MAX(0,(1-Table7[f1]*(Table36[maxTRpm1]-Table15[[#This Row],[rpm]])^2)*Table36[maxTEco])</f>
        <v>421.73553719008265</v>
      </c>
      <c r="T31" s="3">
        <f>MAX(0,(Table36[linearDown]*(1-Table7[f2Eco]*(Table15[[#This Row],[rpm]]-Table36[maxTRpm]))+(1-Table36[linearDown])*(1-Table7[f3Eco]*(Table15[[#This Row],[rpm]]-Table36[maxTRpm])^2))*Table36[maxTEco])</f>
        <v>347.68188854489148</v>
      </c>
      <c r="U31" s="3">
        <f>MAX(0,(Table36[maxPSEco]-Table7[f4Eco]*(Table15[[#This Row],[rpm]]-Table36[maxPRpm])^2)/1.36*9550/MAX(1,Table15[[#This Row],[rpm]]))</f>
        <v>332.81632965686276</v>
      </c>
      <c r="V31" s="3">
        <f>MAX(0,Table7[Nm2Eco]*MIN(Table36[ratedRpm]/MAX(1,Table15[[#This Row],[rpm]]),1-(MAX(0,Table15[[#This Row],[rpm]]-Table36[ratedRpm])/Table36[fadeOut])^Table36[fadeOutExp]))</f>
        <v>0</v>
      </c>
      <c r="W3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424.24938725490193</v>
      </c>
      <c r="X3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424.24938725490193</v>
      </c>
      <c r="Y31" s="3">
        <f>ABS(Table15[[#This Row],[motor]]-Table15[[#This Row],[motorEco]])</f>
        <v>0</v>
      </c>
    </row>
    <row r="32" spans="1:25" x14ac:dyDescent="0.25">
      <c r="A32" s="3">
        <v>2450</v>
      </c>
      <c r="B3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13"/>
      <c r="D3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13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7" t="str">
        <f>IF(Table15[[#This Row],[rpm]]&lt;1,Table7[xmlComment],IF(A31&gt;Table36[normRpm],"",IF(Table15[[#This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2" s="3">
        <f>(1-(1-Table15[[#This Row],[rpm]]/Table36[idleRpm])^2)*Table7[idleT]</f>
        <v>-1442.0242214532873</v>
      </c>
      <c r="N32" s="3">
        <f>MAX(0,(1-Table7[f1]*(Table36[maxTRpm1]-Table15[[#This Row],[rpm]])^2)*Table36[maxT])</f>
        <v>400.3884297520662</v>
      </c>
      <c r="O32" s="3">
        <f>MAX(0,(Table36[linearDown]*(1-Table7[f2]*(Table15[[#This Row],[rpm]]-Table36[maxTRpm]))+(1-Table36[linearDown])*(1-Table7[f3]*(Table15[[#This Row],[rpm]]-Table36[maxTRpm])^2))*Table36[maxT])</f>
        <v>323.68484907120728</v>
      </c>
      <c r="P32" s="3">
        <f>MAX(0,(Table36[maxPS]-Table7[f4]*(Table15[[#This Row],[rpm]]-Table36[maxPRpm])^2)/1.36*9550/MAX(1,Table15[[#This Row],[rpm]]))</f>
        <v>307.21507352941177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-1442.0242214532873</v>
      </c>
      <c r="S32" s="3">
        <f>MAX(0,(1-Table7[f1]*(Table36[maxTRpm1]-Table15[[#This Row],[rpm]])^2)*Table36[maxTEco])</f>
        <v>400.3884297520662</v>
      </c>
      <c r="T32" s="3">
        <f>MAX(0,(Table36[linearDown]*(1-Table7[f2Eco]*(Table15[[#This Row],[rpm]]-Table36[maxTRpm]))+(1-Table36[linearDown])*(1-Table7[f3Eco]*(Table15[[#This Row],[rpm]]-Table36[maxTRpm])^2))*Table36[maxTEco])</f>
        <v>323.68484907120728</v>
      </c>
      <c r="U32" s="3">
        <f>MAX(0,(Table36[maxPSEco]-Table7[f4Eco]*(Table15[[#This Row],[rpm]]-Table36[maxPRpm])^2)/1.36*9550/MAX(1,Table15[[#This Row],[rpm]]))</f>
        <v>307.21507352941177</v>
      </c>
      <c r="V32" s="3">
        <f>MAX(0,Table7[Nm2Eco]*MIN(Table36[ratedRpm]/MAX(1,Table15[[#This Row],[rpm]]),1-(MAX(0,Table15[[#This Row],[rpm]]-Table36[ratedRpm])/Table36[fadeOut])^Table36[fadeOutExp]))</f>
        <v>0</v>
      </c>
      <c r="W3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415.59123649459781</v>
      </c>
      <c r="X3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415.59123649459781</v>
      </c>
      <c r="Y32" s="3">
        <f>ABS(Table15[[#This Row],[motor]]-Table15[[#This Row],[motorEco]])</f>
        <v>0</v>
      </c>
    </row>
    <row r="33" spans="1:25" x14ac:dyDescent="0.25">
      <c r="A33" s="3">
        <v>2500</v>
      </c>
      <c r="B3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13"/>
      <c r="D3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13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3" s="4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49" t="str">
        <f>IF(Table15[[#This Row],[rpm]]&lt;1,Table7[xmlComment],IF(A32&gt;Table36[normRpm],"",IF(Table15[[#This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3" s="3">
        <f>(1-(1-Table15[[#This Row],[rpm]]/Table36[idleRpm])^2)*Table7[idleT]</f>
        <v>-1569.5501730103811</v>
      </c>
      <c r="N33" s="3">
        <f>MAX(0,(1-Table7[f1]*(Table36[maxTRpm1]-Table15[[#This Row],[rpm]])^2)*Table36[maxT])</f>
        <v>378.00000000000006</v>
      </c>
      <c r="O33" s="3">
        <f>MAX(0,(Table36[linearDown]*(1-Table7[f2]*(Table15[[#This Row],[rpm]]-Table36[maxTRpm]))+(1-Table36[linearDown])*(1-Table7[f3]*(Table15[[#This Row],[rpm]]-Table36[maxTRpm])^2))*Table36[maxT])</f>
        <v>298.7467492260061</v>
      </c>
      <c r="P33" s="3">
        <f>MAX(0,(Table36[maxPS]-Table7[f4]*(Table15[[#This Row],[rpm]]-Table36[maxPRpm])^2)/1.36*9550/MAX(1,Table15[[#This Row],[rpm]]))</f>
        <v>280.88235294117646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-1569.5501730103811</v>
      </c>
      <c r="S33" s="3">
        <f>MAX(0,(1-Table7[f1]*(Table36[maxTRpm1]-Table15[[#This Row],[rpm]])^2)*Table36[maxTEco])</f>
        <v>378.00000000000006</v>
      </c>
      <c r="T33" s="3">
        <f>MAX(0,(Table36[linearDown]*(1-Table7[f2Eco]*(Table15[[#This Row],[rpm]]-Table36[maxTRpm]))+(1-Table36[linearDown])*(1-Table7[f3Eco]*(Table15[[#This Row],[rpm]]-Table36[maxTRpm])^2))*Table36[maxTEco])</f>
        <v>298.7467492260061</v>
      </c>
      <c r="U33" s="3">
        <f>MAX(0,(Table36[maxPSEco]-Table7[f4Eco]*(Table15[[#This Row],[rpm]]-Table36[maxPRpm])^2)/1.36*9550/MAX(1,Table15[[#This Row],[rpm]]))</f>
        <v>280.88235294117646</v>
      </c>
      <c r="V33" s="3">
        <f>MAX(0,Table7[Nm2Eco]*MIN(Table36[ratedRpm]/MAX(1,Table15[[#This Row],[rpm]]),1-(MAX(0,Table15[[#This Row],[rpm]]-Table36[ratedRpm])/Table36[fadeOut])^Table36[fadeOutExp]))</f>
        <v>0</v>
      </c>
      <c r="W3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407.27941176470586</v>
      </c>
      <c r="X33" s="3"/>
      <c r="Y33" s="3">
        <f>ABS(Table15[[#This Row],[motor]]-Table15[[#This Row],[motorEco]])</f>
        <v>0</v>
      </c>
    </row>
    <row r="34" spans="1:25" x14ac:dyDescent="0.25">
      <c r="A34" s="3">
        <v>2550</v>
      </c>
      <c r="B3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13"/>
      <c r="D3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13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49" t="str">
        <f>IF(Table15[[#This Row],[rpm]]&lt;1,Table7[xmlComment],IF(A33&gt;Table36[normRpm],"",IF(Table15[[#This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4" s="3">
        <f>(1-(1-Table15[[#This Row],[rpm]]/Table36[idleRpm])^2)*Table7[idleT]</f>
        <v>-1701</v>
      </c>
      <c r="N34" s="3">
        <f>MAX(0,(1-Table7[f1]*(Table36[maxTRpm1]-Table15[[#This Row],[rpm]])^2)*Table36[maxT])</f>
        <v>354.57024793388439</v>
      </c>
      <c r="O34" s="3">
        <f>MAX(0,(Table36[linearDown]*(1-Table7[f2]*(Table15[[#This Row],[rpm]]-Table36[maxTRpm]))+(1-Table36[linearDown])*(1-Table7[f3]*(Table15[[#This Row],[rpm]]-Table36[maxTRpm])^2))*Table36[maxT])</f>
        <v>272.86758900928783</v>
      </c>
      <c r="P34" s="3">
        <f>MAX(0,(Table36[maxPS]-Table7[f4]*(Table15[[#This Row],[rpm]]-Table36[maxPRpm])^2)/1.36*9550/MAX(1,Table15[[#This Row],[rpm]]))</f>
        <v>253.86119521337946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-1701</v>
      </c>
      <c r="S34" s="3">
        <f>MAX(0,(1-Table7[f1]*(Table36[maxTRpm1]-Table15[[#This Row],[rpm]])^2)*Table36[maxTEco])</f>
        <v>354.57024793388439</v>
      </c>
      <c r="T34" s="3">
        <f>MAX(0,(Table36[linearDown]*(1-Table7[f2Eco]*(Table15[[#This Row],[rpm]]-Table36[maxTRpm]))+(1-Table36[linearDown])*(1-Table7[f3Eco]*(Table15[[#This Row],[rpm]]-Table36[maxTRpm])^2))*Table36[maxTEco])</f>
        <v>272.86758900928783</v>
      </c>
      <c r="U34" s="3">
        <f>MAX(0,(Table36[maxPSEco]-Table7[f4Eco]*(Table15[[#This Row],[rpm]]-Table36[maxPRpm])^2)/1.36*9550/MAX(1,Table15[[#This Row],[rpm]]))</f>
        <v>253.86119521337946</v>
      </c>
      <c r="V34" s="3">
        <f>MAX(0,Table7[Nm2Eco]*MIN(Table36[ratedRpm]/MAX(1,Table15[[#This Row],[rpm]]),1-(MAX(0,Table15[[#This Row],[rpm]]-Table36[ratedRpm])/Table36[fadeOut])^Table36[fadeOutExp]))</f>
        <v>0</v>
      </c>
      <c r="W3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399.29354094579003</v>
      </c>
      <c r="X3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399.29354094579003</v>
      </c>
      <c r="Y34" s="3">
        <f>ABS(Table15[[#This Row],[motor]]-Table15[[#This Row],[motorEco]])</f>
        <v>0</v>
      </c>
    </row>
    <row r="35" spans="1:25" x14ac:dyDescent="0.25">
      <c r="A35" s="3">
        <v>2600</v>
      </c>
      <c r="B3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13"/>
      <c r="D3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13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7" t="str">
        <f>IF(Table15[[#This Row],[rpm]]&lt;1,Table7[xmlComment],IF(A34&gt;Table36[normRpm],"",IF(Table15[[#This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5" s="3">
        <f>(1-(1-Table15[[#This Row],[rpm]]/Table36[idleRpm])^2)*Table7[idleT]</f>
        <v>-1836.3737024221448</v>
      </c>
      <c r="N35" s="3">
        <f>MAX(0,(1-Table7[f1]*(Table36[maxTRpm1]-Table15[[#This Row],[rpm]])^2)*Table36[maxT])</f>
        <v>330.09917355371908</v>
      </c>
      <c r="O35" s="3">
        <f>MAX(0,(Table36[linearDown]*(1-Table7[f2]*(Table15[[#This Row],[rpm]]-Table36[maxTRpm]))+(1-Table36[linearDown])*(1-Table7[f3]*(Table15[[#This Row],[rpm]]-Table36[maxTRpm])^2))*Table36[maxT])</f>
        <v>246.04736842105248</v>
      </c>
      <c r="P35" s="3">
        <f>MAX(0,(Table36[maxPS]-Table7[f4]*(Table15[[#This Row],[rpm]]-Table36[maxPRpm])^2)/1.36*9550/MAX(1,Table15[[#This Row],[rpm]]))</f>
        <v>226.19131787330315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-1836.3737024221448</v>
      </c>
      <c r="S35" s="3">
        <f>MAX(0,(1-Table7[f1]*(Table36[maxTRpm1]-Table15[[#This Row],[rpm]])^2)*Table36[maxTEco])</f>
        <v>330.09917355371908</v>
      </c>
      <c r="T35" s="3">
        <f>MAX(0,(Table36[linearDown]*(1-Table7[f2Eco]*(Table15[[#This Row],[rpm]]-Table36[maxTRpm]))+(1-Table36[linearDown])*(1-Table7[f3Eco]*(Table15[[#This Row],[rpm]]-Table36[maxTRpm])^2))*Table36[maxTEco])</f>
        <v>246.04736842105248</v>
      </c>
      <c r="U35" s="3">
        <f>MAX(0,(Table36[maxPSEco]-Table7[f4Eco]*(Table15[[#This Row],[rpm]]-Table36[maxPRpm])^2)/1.36*9550/MAX(1,Table15[[#This Row],[rpm]]))</f>
        <v>226.19131787330315</v>
      </c>
      <c r="V35" s="3">
        <f>MAX(0,Table7[Nm2Eco]*MIN(Table36[ratedRpm]/MAX(1,Table15[[#This Row],[rpm]]),1-(MAX(0,Table15[[#This Row],[rpm]]-Table36[ratedRpm])/Table36[fadeOut])^Table36[fadeOutExp]))</f>
        <v>0</v>
      </c>
      <c r="W3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391.61481900452486</v>
      </c>
      <c r="X3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391.61481900452486</v>
      </c>
      <c r="Y35" s="3">
        <f>ABS(Table15[[#This Row],[motor]]-Table15[[#This Row],[motorEco]])</f>
        <v>0</v>
      </c>
    </row>
    <row r="36" spans="1:25" x14ac:dyDescent="0.25">
      <c r="A36" s="3">
        <v>2700</v>
      </c>
      <c r="B3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13"/>
      <c r="D3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13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7" t="str">
        <f>IF(Table15[[#This Row],[rpm]]&lt;1,Table7[xmlComment],IF(A35&gt;Table36[normRpm],"",IF(Table15[[#This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6" s="3">
        <f>(1-(1-Table15[[#This Row],[rpm]]/Table36[idleRpm])^2)*Table7[idleT]</f>
        <v>-2118.8927335640137</v>
      </c>
      <c r="N36" s="3">
        <f>MAX(0,(1-Table7[f1]*(Table36[maxTRpm1]-Table15[[#This Row],[rpm]])^2)*Table36[maxT])</f>
        <v>278.03305785123973</v>
      </c>
      <c r="O36" s="3">
        <f>MAX(0,(Table36[linearDown]*(1-Table7[f2]*(Table15[[#This Row],[rpm]]-Table36[maxTRpm]))+(1-Table36[linearDown])*(1-Table7[f3]*(Table15[[#This Row],[rpm]]-Table36[maxTRpm])^2))*Table36[maxT])</f>
        <v>189.58374613003082</v>
      </c>
      <c r="P36" s="3">
        <f>MAX(0,(Table36[maxPS]-Table7[f4]*(Table15[[#This Row],[rpm]]-Table36[maxPRpm])^2)/1.36*9550/MAX(1,Table15[[#This Row],[rpm]]))</f>
        <v>169.0495642701525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-2118.8927335640137</v>
      </c>
      <c r="S36" s="3">
        <f>MAX(0,(1-Table7[f1]*(Table36[maxTRpm1]-Table15[[#This Row],[rpm]])^2)*Table36[maxTEco])</f>
        <v>278.03305785123973</v>
      </c>
      <c r="T36" s="3">
        <f>MAX(0,(Table36[linearDown]*(1-Table7[f2Eco]*(Table15[[#This Row],[rpm]]-Table36[maxTRpm]))+(1-Table36[linearDown])*(1-Table7[f3Eco]*(Table15[[#This Row],[rpm]]-Table36[maxTRpm])^2))*Table36[maxTEco])</f>
        <v>189.58374613003082</v>
      </c>
      <c r="U36" s="3">
        <f>MAX(0,(Table36[maxPSEco]-Table7[f4Eco]*(Table15[[#This Row],[rpm]]-Table36[maxPRpm])^2)/1.36*9550/MAX(1,Table15[[#This Row],[rpm]]))</f>
        <v>169.0495642701525</v>
      </c>
      <c r="V36" s="3">
        <f>MAX(0,Table7[Nm2Eco]*MIN(Table36[ratedRpm]/MAX(1,Table15[[#This Row],[rpm]]),1-(MAX(0,Table15[[#This Row],[rpm]]-Table36[ratedRpm])/Table36[fadeOut])^Table36[fadeOutExp]))</f>
        <v>0</v>
      </c>
      <c r="W3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377.11056644880171</v>
      </c>
      <c r="X3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377.11056644880171</v>
      </c>
      <c r="Y36" s="3">
        <f>ABS(Table15[[#This Row],[motor]]-Table15[[#This Row],[motorEco]])</f>
        <v>0</v>
      </c>
    </row>
    <row r="37" spans="1:25" x14ac:dyDescent="0.25">
      <c r="A37" s="3">
        <v>2800</v>
      </c>
      <c r="B3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13"/>
      <c r="D3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13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7" t="str">
        <f>IF(Table15[[#This Row],[rpm]]&lt;1,Table7[xmlComment],IF(A36&gt;Table36[normRpm],"",IF(Table15[[#This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7" s="3">
        <f>(1-(1-Table15[[#This Row],[rpm]]/Table36[idleRpm])^2)*Table7[idleT]</f>
        <v>-2417.1072664359858</v>
      </c>
      <c r="N37" s="3">
        <f>MAX(0,(1-Table7[f1]*(Table36[maxTRpm1]-Table15[[#This Row],[rpm]])^2)*Table36[maxT])</f>
        <v>221.80165289256206</v>
      </c>
      <c r="O37" s="3">
        <f>MAX(0,(Table36[linearDown]*(1-Table7[f2]*(Table15[[#This Row],[rpm]]-Table36[maxTRpm]))+(1-Table36[linearDown])*(1-Table7[f3]*(Table15[[#This Row],[rpm]]-Table36[maxTRpm])^2))*Table36[maxT])</f>
        <v>129.35588235294102</v>
      </c>
      <c r="P37" s="3">
        <f>MAX(0,(Table36[maxPS]-Table7[f4]*(Table15[[#This Row],[rpm]]-Table36[maxPRpm])^2)/1.36*9550/MAX(1,Table15[[#This Row],[rpm]]))</f>
        <v>109.71966911764706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-2417.1072664359858</v>
      </c>
      <c r="S37" s="3">
        <f>MAX(0,(1-Table7[f1]*(Table36[maxTRpm1]-Table15[[#This Row],[rpm]])^2)*Table36[maxTEco])</f>
        <v>221.80165289256206</v>
      </c>
      <c r="T37" s="3">
        <f>MAX(0,(Table36[linearDown]*(1-Table7[f2Eco]*(Table15[[#This Row],[rpm]]-Table36[maxTRpm]))+(1-Table36[linearDown])*(1-Table7[f3Eco]*(Table15[[#This Row],[rpm]]-Table36[maxTRpm])^2))*Table36[maxTEco])</f>
        <v>129.35588235294102</v>
      </c>
      <c r="U37" s="3">
        <f>MAX(0,(Table36[maxPSEco]-Table7[f4Eco]*(Table15[[#This Row],[rpm]]-Table36[maxPRpm])^2)/1.36*9550/MAX(1,Table15[[#This Row],[rpm]]))</f>
        <v>109.71966911764706</v>
      </c>
      <c r="V37" s="3">
        <f>MAX(0,Table7[Nm2Eco]*MIN(Table36[ratedRpm]/MAX(1,Table15[[#This Row],[rpm]]),1-(MAX(0,Table15[[#This Row],[rpm]]-Table36[ratedRpm])/Table36[fadeOut])^Table36[fadeOutExp]))</f>
        <v>0</v>
      </c>
      <c r="W3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363.64233193277306</v>
      </c>
      <c r="X3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363.64233193277306</v>
      </c>
      <c r="Y37" s="3">
        <f>ABS(Table15[[#This Row],[motor]]-Table15[[#This Row],[motorEco]])</f>
        <v>0</v>
      </c>
    </row>
    <row r="38" spans="1:25" x14ac:dyDescent="0.25">
      <c r="A38" s="3">
        <v>2900</v>
      </c>
      <c r="B3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13"/>
      <c r="D3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13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7" t="str">
        <f>IF(Table15[[#This Row],[rpm]]&lt;1,Table7[xmlComment],IF(A37&gt;Table36[normRpm],"",IF(Table15[[#This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8" s="3">
        <f>(1-(1-Table15[[#This Row],[rpm]]/Table36[idleRpm])^2)*Table7[idleT]</f>
        <v>-2731.0173010380618</v>
      </c>
      <c r="N38" s="3">
        <f>MAX(0,(1-Table7[f1]*(Table36[maxTRpm1]-Table15[[#This Row],[rpm]])^2)*Table36[maxT])</f>
        <v>161.40495867768604</v>
      </c>
      <c r="O38" s="3">
        <f>MAX(0,(Table36[linearDown]*(1-Table7[f2]*(Table15[[#This Row],[rpm]]-Table36[maxTRpm]))+(1-Table36[linearDown])*(1-Table7[f3]*(Table15[[#This Row],[rpm]]-Table36[maxTRpm])^2))*Table36[maxT])</f>
        <v>65.363777089783056</v>
      </c>
      <c r="P38" s="3">
        <f>MAX(0,(Table36[maxPS]-Table7[f4]*(Table15[[#This Row],[rpm]]-Table36[maxPRpm])^2)/1.36*9550/MAX(1,Table15[[#This Row],[rpm]]))</f>
        <v>48.427991886409735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-2731.0173010380618</v>
      </c>
      <c r="S38" s="3">
        <f>MAX(0,(1-Table7[f1]*(Table36[maxTRpm1]-Table15[[#This Row],[rpm]])^2)*Table36[maxTEco])</f>
        <v>161.40495867768604</v>
      </c>
      <c r="T38" s="3">
        <f>MAX(0,(Table36[linearDown]*(1-Table7[f2Eco]*(Table15[[#This Row],[rpm]]-Table36[maxTRpm]))+(1-Table36[linearDown])*(1-Table7[f3Eco]*(Table15[[#This Row],[rpm]]-Table36[maxTRpm])^2))*Table36[maxTEco])</f>
        <v>65.363777089783056</v>
      </c>
      <c r="U38" s="3">
        <f>MAX(0,(Table36[maxPSEco]-Table7[f4Eco]*(Table15[[#This Row],[rpm]]-Table36[maxPRpm])^2)/1.36*9550/MAX(1,Table15[[#This Row],[rpm]]))</f>
        <v>48.427991886409735</v>
      </c>
      <c r="V38" s="3">
        <f>MAX(0,Table7[Nm2Eco]*MIN(Table36[ratedRpm]/MAX(1,Table15[[#This Row],[rpm]]),1-(MAX(0,Table15[[#This Row],[rpm]]-Table36[ratedRpm])/Table36[fadeOut])^Table36[fadeOutExp]))</f>
        <v>0</v>
      </c>
      <c r="W3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351.10294117647055</v>
      </c>
      <c r="X3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351.10294117647055</v>
      </c>
      <c r="Y38" s="3">
        <f>ABS(Table15[[#This Row],[motor]]-Table15[[#This Row],[motorEco]])</f>
        <v>0</v>
      </c>
    </row>
    <row r="39" spans="1:25" x14ac:dyDescent="0.25">
      <c r="A39" s="3">
        <v>3000</v>
      </c>
      <c r="B3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13"/>
      <c r="D3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13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7" t="str">
        <f>IF(Table15[[#This Row],[rpm]]&lt;1,Table7[xmlComment],IF(A38&gt;Table36[normRpm],"",IF(Table15[[#This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9" s="3">
        <f>(1-(1-Table15[[#This Row],[rpm]]/Table36[idleRpm])^2)*Table7[idleT]</f>
        <v>-3060.6228373702415</v>
      </c>
      <c r="N39" s="3">
        <f>MAX(0,(1-Table7[f1]*(Table36[maxTRpm1]-Table15[[#This Row],[rpm]])^2)*Table36[maxT])</f>
        <v>96.842975206611655</v>
      </c>
      <c r="O39" s="3">
        <f>MAX(0,(Table36[linearDown]*(1-Table7[f2]*(Table15[[#This Row],[rpm]]-Table36[maxTRpm]))+(1-Table36[linearDown])*(1-Table7[f3]*(Table15[[#This Row],[rpm]]-Table36[maxTRpm])^2))*Table36[maxT])</f>
        <v>0</v>
      </c>
      <c r="P39" s="3">
        <f>MAX(0,(Table36[maxPS]-Table7[f4]*(Table15[[#This Row],[rpm]]-Table36[maxPRpm])^2)/1.36*9550/MAX(1,Table15[[#This Row],[rpm]]))</f>
        <v>0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-3060.6228373702415</v>
      </c>
      <c r="S39" s="3">
        <f>MAX(0,(1-Table7[f1]*(Table36[maxTRpm1]-Table15[[#This Row],[rpm]])^2)*Table36[maxTEco])</f>
        <v>96.842975206611655</v>
      </c>
      <c r="T39" s="3">
        <f>MAX(0,(Table36[linearDown]*(1-Table7[f2Eco]*(Table15[[#This Row],[rpm]]-Table36[maxTRpm]))+(1-Table36[linearDown])*(1-Table7[f3Eco]*(Table15[[#This Row],[rpm]]-Table36[maxTRpm])^2))*Table36[maxTEco])</f>
        <v>0</v>
      </c>
      <c r="U39" s="3">
        <f>MAX(0,(Table36[maxPSEco]-Table7[f4Eco]*(Table15[[#This Row],[rpm]]-Table36[maxPRpm])^2)/1.36*9550/MAX(1,Table15[[#This Row],[rpm]]))</f>
        <v>0</v>
      </c>
      <c r="V39" s="3">
        <f>MAX(0,Table7[Nm2Eco]*MIN(Table36[ratedRpm]/MAX(1,Table15[[#This Row],[rpm]]),1-(MAX(0,Table15[[#This Row],[rpm]]-Table36[ratedRpm])/Table36[fadeOut])^Table36[fadeOutExp]))</f>
        <v>0</v>
      </c>
      <c r="W3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339.39950980392155</v>
      </c>
      <c r="X3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339.39950980392155</v>
      </c>
      <c r="Y39" s="3">
        <f>ABS(Table15[[#This Row],[motor]]-Table15[[#This Row],[motorEco]])</f>
        <v>0</v>
      </c>
    </row>
    <row r="40" spans="1:25" x14ac:dyDescent="0.25">
      <c r="A40" s="3">
        <v>3100</v>
      </c>
      <c r="B4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13"/>
      <c r="D4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13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0" s="4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49" t="str">
        <f>IF(Table15[[#This Row],[rpm]]&lt;1,Table7[xmlComment],IF(A39&gt;Table36[normRpm],"",IF(Table15[[#This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0" s="3">
        <f>(1-(1-Table15[[#This Row],[rpm]]/Table36[idleRpm])^2)*Table7[idleT]</f>
        <v>-3405.9238754325256</v>
      </c>
      <c r="N40" s="3">
        <f>MAX(0,(1-Table7[f1]*(Table36[maxTRpm1]-Table15[[#This Row],[rpm]])^2)*Table36[maxT])</f>
        <v>28.115702479338974</v>
      </c>
      <c r="O40" s="3">
        <f>MAX(0,(Table36[linearDown]*(1-Table7[f2]*(Table15[[#This Row],[rpm]]-Table36[maxTRpm]))+(1-Table36[linearDown])*(1-Table7[f3]*(Table15[[#This Row],[rpm]]-Table36[maxTRpm])^2))*Table36[maxT])</f>
        <v>0</v>
      </c>
      <c r="P40" s="3">
        <f>MAX(0,(Table36[maxPS]-Table7[f4]*(Table15[[#This Row],[rpm]]-Table36[maxPRpm])^2)/1.36*9550/MAX(1,Table15[[#This Row],[rpm]]))</f>
        <v>0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-3405.9238754325256</v>
      </c>
      <c r="S40" s="3">
        <f>MAX(0,(1-Table7[f1]*(Table36[maxTRpm1]-Table15[[#This Row],[rpm]])^2)*Table36[maxTEco])</f>
        <v>28.115702479338974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0</v>
      </c>
      <c r="V40" s="3">
        <f>MAX(0,Table7[Nm2Eco]*MIN(Table36[ratedRpm]/MAX(1,Table15[[#This Row],[rpm]]),1-(MAX(0,Table15[[#This Row],[rpm]]-Table36[ratedRpm])/Table36[fadeOut])^Table36[fadeOutExp]))</f>
        <v>0</v>
      </c>
      <c r="W4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328.45113851992409</v>
      </c>
      <c r="X40" s="3"/>
      <c r="Y40" s="3">
        <f>ABS(Table15[[#This Row],[motor]]-Table15[[#This Row],[motorEco]])</f>
        <v>0</v>
      </c>
    </row>
    <row r="41" spans="1:25" x14ac:dyDescent="0.25">
      <c r="A41" s="3">
        <v>3200</v>
      </c>
      <c r="B4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13"/>
      <c r="D4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13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49" t="str">
        <f>IF(Table15[[#This Row],[rpm]]&lt;1,Table7[xmlComment],IF(A40&gt;Table36[normRpm],"",IF(Table15[[#This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1" s="3">
        <f>(1-(1-Table15[[#This Row],[rpm]]/Table36[idleRpm])^2)*Table7[idleT]</f>
        <v>-3766.9204152249131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0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-3766.9204152249131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0</v>
      </c>
      <c r="V41" s="3">
        <f>MAX(0,Table7[Nm2Eco]*MIN(Table36[ratedRpm]/MAX(1,Table15[[#This Row],[rpm]]),1-(MAX(0,Table15[[#This Row],[rpm]]-Table36[ratedRpm])/Table36[fadeOut])^Table36[fadeOutExp]))</f>
        <v>0</v>
      </c>
      <c r="W4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318.18704044117641</v>
      </c>
      <c r="X4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318.18704044117641</v>
      </c>
      <c r="Y41" s="3">
        <f>ABS(Table15[[#This Row],[motor]]-Table15[[#This Row],[motorEco]])</f>
        <v>0</v>
      </c>
    </row>
    <row r="42" spans="1:25" x14ac:dyDescent="0.25">
      <c r="A42" s="3">
        <v>3300</v>
      </c>
      <c r="B4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13"/>
      <c r="D4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13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2" s="4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49" t="str">
        <f>IF(Table15[[#This Row],[rpm]]&lt;1,Table7[xmlComment],IF(A41&gt;Table36[normRpm],"",IF(Table15[[#This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2" s="3">
        <f>(1-(1-Table15[[#This Row],[rpm]]/Table36[idleRpm])^2)*Table7[idleT]</f>
        <v>-4143.6124567474053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0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-4143.6124567474053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0</v>
      </c>
      <c r="V42" s="3">
        <f>MAX(0,Table7[Nm2Eco]*MIN(Table36[ratedRpm]/MAX(1,Table15[[#This Row],[rpm]]),1-(MAX(0,Table15[[#This Row],[rpm]]-Table36[ratedRpm])/Table36[fadeOut])^Table36[fadeOutExp]))</f>
        <v>0</v>
      </c>
      <c r="W4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308.54500891265593</v>
      </c>
      <c r="X42" s="3"/>
      <c r="Y42" s="3">
        <f>ABS(Table15[[#This Row],[motor]]-Table15[[#This Row],[motorEco]])</f>
        <v>0</v>
      </c>
    </row>
    <row r="43" spans="1:25" x14ac:dyDescent="0.25">
      <c r="A43" s="3">
        <v>3400</v>
      </c>
      <c r="B4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13"/>
      <c r="D4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13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3" s="4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49" t="str">
        <f>IF(Table15[[#This Row],[rpm]]&lt;1,Table7[xmlComment],IF(A42&gt;Table36[normRpm],"",IF(Table15[[#This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3" s="3">
        <f>(1-(1-Table15[[#This Row],[rpm]]/Table36[idleRpm])^2)*Table7[idleT]</f>
        <v>-4536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0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-4536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0</v>
      </c>
      <c r="V43" s="3">
        <f>MAX(0,Table7[Nm2Eco]*MIN(Table36[ratedRpm]/MAX(1,Table15[[#This Row],[rpm]]),1-(MAX(0,Table15[[#This Row],[rpm]]-Table36[ratedRpm])/Table36[fadeOut])^Table36[fadeOutExp]))</f>
        <v>0</v>
      </c>
      <c r="W4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299.47015570934252</v>
      </c>
      <c r="X43" s="3"/>
      <c r="Y43" s="3">
        <f>ABS(Table15[[#This Row],[motor]]-Table15[[#This Row],[motorEco]])</f>
        <v>0</v>
      </c>
    </row>
    <row r="44" spans="1:25" x14ac:dyDescent="0.25">
      <c r="A44" s="3">
        <v>3500</v>
      </c>
      <c r="B4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13"/>
      <c r="D4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13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49" t="str">
        <f>IF(Table15[[#This Row],[rpm]]&lt;1,Table7[xmlComment],IF(A43&gt;Table36[normRpm],"",IF(Table15[[#This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4" s="3">
        <f>(1-(1-Table15[[#This Row],[rpm]]/Table36[idleRpm])^2)*Table7[idleT]</f>
        <v>-4944.0830449826972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0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-4944.0830449826972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0</v>
      </c>
      <c r="V44" s="3">
        <f>MAX(0,Table7[Nm2Eco]*MIN(Table36[ratedRpm]/MAX(1,Table15[[#This Row],[rpm]]),1-(MAX(0,Table15[[#This Row],[rpm]]-Table36[ratedRpm])/Table36[fadeOut])^Table36[fadeOutExp]))</f>
        <v>0</v>
      </c>
      <c r="W4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290.91386554621846</v>
      </c>
      <c r="X4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290.91386554621846</v>
      </c>
      <c r="Y44" s="3">
        <f>ABS(Table15[[#This Row],[motor]]-Table15[[#This Row],[motorEco]])</f>
        <v>0</v>
      </c>
    </row>
    <row r="45" spans="1:25" x14ac:dyDescent="0.25">
      <c r="A45" s="3">
        <v>3750</v>
      </c>
      <c r="B4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13"/>
      <c r="D4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13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7" t="str">
        <f>IF(Table15[[#This Row],[rpm]]&lt;1,Table7[xmlComment],IF(A44&gt;Table36[normRpm],"",IF(Table15[[#This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5" s="3">
        <f>(1-(1-Table15[[#This Row],[rpm]]/Table36[idleRpm])^2)*Table7[idleT]</f>
        <v>-6032.9584775086514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0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-6032.9584775086514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0</v>
      </c>
      <c r="V45" s="3">
        <f>MAX(0,Table7[Nm2Eco]*MIN(Table36[ratedRpm]/MAX(1,Table15[[#This Row],[rpm]]),1-(MAX(0,Table15[[#This Row],[rpm]]-Table36[ratedRpm])/Table36[fadeOut])^Table36[fadeOutExp]))</f>
        <v>0</v>
      </c>
      <c r="W4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271.51960784313724</v>
      </c>
      <c r="X4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271.51960784313724</v>
      </c>
      <c r="Y45" s="3">
        <f>ABS(Table15[[#This Row],[motor]]-Table15[[#This Row],[motorEco]])</f>
        <v>0</v>
      </c>
    </row>
    <row r="46" spans="1:25" x14ac:dyDescent="0.25">
      <c r="A46" s="3">
        <v>4000</v>
      </c>
      <c r="B4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13"/>
      <c r="D4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13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7" t="str">
        <f>IF(Table15[[#This Row],[rpm]]&lt;1,Table7[xmlComment],IF(A45&gt;Table36[normRpm],"",IF(Table15[[#This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6" s="3">
        <f>(1-(1-Table15[[#This Row],[rpm]]/Table36[idleRpm])^2)*Table7[idleT]</f>
        <v>-7219.9307958477521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0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-7219.9307958477521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0</v>
      </c>
      <c r="V46" s="3">
        <f>MAX(0,Table7[Nm2Eco]*MIN(Table36[ratedRpm]/MAX(1,Table15[[#This Row],[rpm]]),1-(MAX(0,Table15[[#This Row],[rpm]]-Table36[ratedRpm])/Table36[fadeOut])^Table36[fadeOutExp]))</f>
        <v>0</v>
      </c>
      <c r="W4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254.54963235294116</v>
      </c>
      <c r="X4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254.54963235294116</v>
      </c>
      <c r="Y46" s="3">
        <f>ABS(Table15[[#This Row],[motor]]-Table15[[#This Row],[motorEco]])</f>
        <v>0</v>
      </c>
    </row>
    <row r="47" spans="1:25" x14ac:dyDescent="0.25">
      <c r="A47" s="3">
        <v>4250</v>
      </c>
      <c r="B4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13"/>
      <c r="D4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13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7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23" t="str">
        <f>IF(Table15[[#This Row],[rpm]]&lt;1,Table7[xmlComment],IF(A46&gt;Table36[normRpm],"",IF(Table15[[#This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7" s="3">
        <f>(1-(1-Table15[[#This Row],[rpm]]/Table36[idleRpm])^2)*Table7[idleT]</f>
        <v>-8505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0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-8505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0</v>
      </c>
      <c r="V47" s="3">
        <f>MAX(0,Table7[Nm2Eco]*MIN(Table36[ratedRpm]/MAX(1,Table15[[#This Row],[rpm]]),1-(MAX(0,Table15[[#This Row],[rpm]]-Table36[ratedRpm])/Table36[fadeOut])^Table36[fadeOutExp]))</f>
        <v>0</v>
      </c>
      <c r="W4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239.57612456747401</v>
      </c>
      <c r="X4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239.57612456747401</v>
      </c>
      <c r="Y47" s="3">
        <f>ABS(Table15[[#This Row],[motor]]-Table15[[#This Row],[motorEco]])</f>
        <v>0</v>
      </c>
    </row>
    <row r="48" spans="1:25" x14ac:dyDescent="0.25">
      <c r="A48" s="3">
        <v>4500</v>
      </c>
      <c r="B4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13"/>
      <c r="D4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13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8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23" t="str">
        <f>IF(Table15[[#This Row],[rpm]]&lt;1,Table7[xmlComment],IF(A47&gt;Table36[normRpm],"",IF(Table15[[#This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8" s="3">
        <f>(1-(1-Table15[[#This Row],[rpm]]/Table36[idleRpm])^2)*Table7[idleT]</f>
        <v>-9888.1660899653962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0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-9888.1660899653962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0</v>
      </c>
      <c r="V48" s="3">
        <f>MAX(0,Table7[Nm2Eco]*MIN(Table36[ratedRpm]/MAX(1,Table15[[#This Row],[rpm]]),1-(MAX(0,Table15[[#This Row],[rpm]]-Table36[ratedRpm])/Table36[fadeOut])^Table36[fadeOutExp]))</f>
        <v>0</v>
      </c>
      <c r="W4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226.26633986928101</v>
      </c>
      <c r="X4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226.26633986928101</v>
      </c>
      <c r="Y48" s="3">
        <f>ABS(Table15[[#This Row],[motor]]-Table15[[#This Row],[motorEco]])</f>
        <v>0</v>
      </c>
    </row>
    <row r="49" spans="1:25" x14ac:dyDescent="0.25">
      <c r="A49" s="3">
        <v>4750</v>
      </c>
      <c r="B4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13"/>
      <c r="D4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13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9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23" t="str">
        <f>IF(Table15[[#This Row],[rpm]]&lt;1,Table7[xmlComment],IF(A48&gt;Table36[normRpm],"",IF(Table15[[#This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9" s="3">
        <f>(1-(1-Table15[[#This Row],[rpm]]/Table36[idleRpm])^2)*Table7[idleT]</f>
        <v>-11369.429065743943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0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-11369.429065743943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0</v>
      </c>
      <c r="V49" s="3">
        <f>MAX(0,Table7[Nm2Eco]*MIN(Table36[ratedRpm]/MAX(1,Table15[[#This Row],[rpm]]),1-(MAX(0,Table15[[#This Row],[rpm]]-Table36[ratedRpm])/Table36[fadeOut])^Table36[fadeOutExp]))</f>
        <v>0</v>
      </c>
      <c r="W4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214.35758513931887</v>
      </c>
      <c r="X4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214.35758513931887</v>
      </c>
      <c r="Y49" s="3">
        <f>ABS(Table15[[#This Row],[motor]]-Table15[[#This Row],[motorEco]])</f>
        <v>0</v>
      </c>
    </row>
    <row r="50" spans="1:25" x14ac:dyDescent="0.25">
      <c r="A50" s="3">
        <v>5000</v>
      </c>
      <c r="B5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13"/>
      <c r="D5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13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0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23" t="str">
        <f>IF(Table15[[#This Row],[rpm]]&lt;1,Table7[xmlComment],IF(A49&gt;Table36[normRpm],"",IF(Table15[[#This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0" s="3">
        <f>(1-(1-Table15[[#This Row],[rpm]]/Table36[idleRpm])^2)*Table7[idleT]</f>
        <v>-12948.788927335641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0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-12948.788927335641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0</v>
      </c>
      <c r="V50" s="3">
        <f>MAX(0,Table7[Nm2Eco]*MIN(Table36[ratedRpm]/MAX(1,Table15[[#This Row],[rpm]]),1-(MAX(0,Table15[[#This Row],[rpm]]-Table36[ratedRpm])/Table36[fadeOut])^Table36[fadeOutExp]))</f>
        <v>0</v>
      </c>
      <c r="W5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203.63970588235293</v>
      </c>
      <c r="X5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203.63970588235293</v>
      </c>
      <c r="Y50" s="3">
        <f>ABS(Table15[[#This Row],[motor]]-Table15[[#This Row],[motorEco]])</f>
        <v>0</v>
      </c>
    </row>
    <row r="51" spans="1:25" x14ac:dyDescent="0.25">
      <c r="A51" s="3">
        <v>5250</v>
      </c>
      <c r="B5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13"/>
      <c r="D5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13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1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23" t="str">
        <f>IF(Table15[[#This Row],[rpm]]&lt;1,Table7[xmlComment],IF(A50&gt;Table36[normRpm],"",IF(Table15[[#This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1" s="3">
        <f>(1-(1-Table15[[#This Row],[rpm]]/Table36[idleRpm])^2)*Table7[idleT]</f>
        <v>-14626.245674740485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0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-14626.245674740485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0</v>
      </c>
      <c r="V51" s="3">
        <f>MAX(0,Table7[Nm2Eco]*MIN(Table36[ratedRpm]/MAX(1,Table15[[#This Row],[rpm]]),1-(MAX(0,Table15[[#This Row],[rpm]]-Table36[ratedRpm])/Table36[fadeOut])^Table36[fadeOutExp]))</f>
        <v>0</v>
      </c>
      <c r="W5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193.94257703081229</v>
      </c>
      <c r="X5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193.94257703081229</v>
      </c>
      <c r="Y51" s="3">
        <f>ABS(Table15[[#This Row],[motor]]-Table15[[#This Row],[motorEco]])</f>
        <v>0</v>
      </c>
    </row>
    <row r="52" spans="1:25" x14ac:dyDescent="0.25">
      <c r="A52" s="3">
        <v>5500</v>
      </c>
      <c r="B5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13"/>
      <c r="D5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13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2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23" t="str">
        <f>IF(Table15[[#This Row],[rpm]]&lt;1,Table7[xmlComment],IF(A51&gt;Table36[normRpm],"",IF(Table15[[#This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2" s="3">
        <f>(1-(1-Table15[[#This Row],[rpm]]/Table36[idleRpm])^2)*Table7[idleT]</f>
        <v>-16401.799307958478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0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-16401.799307958478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0</v>
      </c>
      <c r="V52" s="3">
        <f>MAX(0,Table7[Nm2Eco]*MIN(Table36[ratedRpm]/MAX(1,Table15[[#This Row],[rpm]]),1-(MAX(0,Table15[[#This Row],[rpm]]-Table36[ratedRpm])/Table36[fadeOut])^Table36[fadeOutExp]))</f>
        <v>0</v>
      </c>
      <c r="W5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185.12700534759355</v>
      </c>
      <c r="X5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185.12700534759355</v>
      </c>
      <c r="Y52" s="3">
        <f>ABS(Table15[[#This Row],[motor]]-Table15[[#This Row],[motorEco]])</f>
        <v>0</v>
      </c>
    </row>
    <row r="53" spans="1:25" x14ac:dyDescent="0.25">
      <c r="A53" s="3">
        <v>5750</v>
      </c>
      <c r="B5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13"/>
      <c r="D5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13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3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23" t="str">
        <f>IF(Table15[[#This Row],[rpm]]&lt;1,Table7[xmlComment],IF(A52&gt;Table36[normRpm],"",IF(Table15[[#This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3" s="3">
        <f>(1-(1-Table15[[#This Row],[rpm]]/Table36[idleRpm])^2)*Table7[idleT]</f>
        <v>-18275.449826989621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0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-18275.449826989621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0</v>
      </c>
      <c r="V53" s="3">
        <f>MAX(0,Table7[Nm2Eco]*MIN(Table36[ratedRpm]/MAX(1,Table15[[#This Row],[rpm]]),1-(MAX(0,Table15[[#This Row],[rpm]]-Table36[ratedRpm])/Table36[fadeOut])^Table36[fadeOutExp]))</f>
        <v>0</v>
      </c>
      <c r="W5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177.0780051150895</v>
      </c>
      <c r="X5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177.0780051150895</v>
      </c>
      <c r="Y53" s="3">
        <f>ABS(Table15[[#This Row],[motor]]-Table15[[#This Row],[motorEco]])</f>
        <v>0</v>
      </c>
    </row>
    <row r="54" spans="1:25" x14ac:dyDescent="0.25">
      <c r="A54" s="3">
        <v>6000</v>
      </c>
      <c r="B5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13"/>
      <c r="D5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13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4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23" t="str">
        <f>IF(Table15[[#This Row],[rpm]]&lt;1,Table7[xmlComment],IF(A53&gt;Table36[normRpm],"",IF(Table15[[#This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4" s="3">
        <f>(1-(1-Table15[[#This Row],[rpm]]/Table36[idleRpm])^2)*Table7[idleT]</f>
        <v>-20247.197231833907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0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-20247.197231833907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0</v>
      </c>
      <c r="V54" s="3">
        <f>MAX(0,Table7[Nm2Eco]*MIN(Table36[ratedRpm]/MAX(1,Table15[[#This Row],[rpm]]),1-(MAX(0,Table15[[#This Row],[rpm]]-Table36[ratedRpm])/Table36[fadeOut])^Table36[fadeOutExp]))</f>
        <v>0</v>
      </c>
      <c r="W5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169.69975490196077</v>
      </c>
      <c r="X5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169.69975490196077</v>
      </c>
      <c r="Y54" s="3">
        <f>ABS(Table15[[#This Row],[motor]]-Table15[[#This Row],[motorEco]])</f>
        <v>0</v>
      </c>
    </row>
    <row r="55" spans="1:25" x14ac:dyDescent="0.25">
      <c r="A55" s="3">
        <v>6250</v>
      </c>
      <c r="B5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13"/>
      <c r="D5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13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5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23" t="str">
        <f>IF(Table15[[#This Row],[rpm]]&lt;1,Table7[xmlComment],IF(A54&gt;Table36[normRpm],"",IF(Table15[[#This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5" s="3">
        <f>(1-(1-Table15[[#This Row],[rpm]]/Table36[idleRpm])^2)*Table7[idleT]</f>
        <v>-22317.041522491349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0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-22317.041522491349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0</v>
      </c>
      <c r="V55" s="3">
        <f>MAX(0,Table7[Nm2Eco]*MIN(Table36[ratedRpm]/MAX(1,Table15[[#This Row],[rpm]]),1-(MAX(0,Table15[[#This Row],[rpm]]-Table36[ratedRpm])/Table36[fadeOut])^Table36[fadeOutExp]))</f>
        <v>0</v>
      </c>
      <c r="W5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162.91176470588232</v>
      </c>
      <c r="X5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162.91176470588232</v>
      </c>
      <c r="Y55" s="3">
        <f>ABS(Table15[[#This Row],[motor]]-Table15[[#This Row],[motorEco]])</f>
        <v>0</v>
      </c>
    </row>
    <row r="56" spans="1:25" x14ac:dyDescent="0.25">
      <c r="A56" s="3">
        <v>6500</v>
      </c>
      <c r="B5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13"/>
      <c r="D5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13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6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23" t="str">
        <f>IF(Table15[[#This Row],[rpm]]&lt;1,Table7[xmlComment],IF(A55&gt;Table36[normRpm],"",IF(Table15[[#This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6" s="3">
        <f>(1-(1-Table15[[#This Row],[rpm]]/Table36[idleRpm])^2)*Table7[idleT]</f>
        <v>-24484.982698961943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0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-24484.982698961943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0</v>
      </c>
      <c r="V56" s="3">
        <f>MAX(0,Table7[Nm2Eco]*MIN(Table36[ratedRpm]/MAX(1,Table15[[#This Row],[rpm]]),1-(MAX(0,Table15[[#This Row],[rpm]]-Table36[ratedRpm])/Table36[fadeOut])^Table36[fadeOutExp]))</f>
        <v>0</v>
      </c>
      <c r="W5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156.64592760180994</v>
      </c>
      <c r="X5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156.64592760180994</v>
      </c>
      <c r="Y56" s="3">
        <f>ABS(Table15[[#This Row],[motor]]-Table15[[#This Row],[motorEco]])</f>
        <v>0</v>
      </c>
    </row>
    <row r="57" spans="1:25" x14ac:dyDescent="0.25">
      <c r="A57" s="3">
        <v>6750</v>
      </c>
      <c r="B5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13"/>
      <c r="D5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13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7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23" t="str">
        <f>IF(Table15[[#This Row],[rpm]]&lt;1,Table7[xmlComment],IF(A56&gt;Table36[normRpm],"",IF(Table15[[#This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7" s="3">
        <f>(1-(1-Table15[[#This Row],[rpm]]/Table36[idleRpm])^2)*Table7[idleT]</f>
        <v>-26751.020761245676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0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-26751.020761245676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0</v>
      </c>
      <c r="V57" s="3">
        <f>MAX(0,Table7[Nm2Eco]*MIN(Table36[ratedRpm]/MAX(1,Table15[[#This Row],[rpm]]),1-(MAX(0,Table15[[#This Row],[rpm]]-Table36[ratedRpm])/Table36[fadeOut])^Table36[fadeOutExp]))</f>
        <v>0</v>
      </c>
      <c r="W5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150.84422657952067</v>
      </c>
      <c r="X5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150.84422657952067</v>
      </c>
      <c r="Y57" s="3">
        <f>ABS(Table15[[#This Row],[motor]]-Table15[[#This Row],[motorEco]])</f>
        <v>0</v>
      </c>
    </row>
    <row r="58" spans="1:25" x14ac:dyDescent="0.25">
      <c r="A58" s="3">
        <v>7000</v>
      </c>
      <c r="B5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13"/>
      <c r="D5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13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8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23" t="str">
        <f>IF(Table15[[#This Row],[rpm]]&lt;1,Table7[xmlComment],IF(A57&gt;Table36[normRpm],"",IF(Table15[[#This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8" s="3">
        <f>(1-(1-Table15[[#This Row],[rpm]]/Table36[idleRpm])^2)*Table7[idleT]</f>
        <v>-29115.155709342551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0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-29115.155709342551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0</v>
      </c>
      <c r="V58" s="3">
        <f>MAX(0,Table7[Nm2Eco]*MIN(Table36[ratedRpm]/MAX(1,Table15[[#This Row],[rpm]]),1-(MAX(0,Table15[[#This Row],[rpm]]-Table36[ratedRpm])/Table36[fadeOut])^Table36[fadeOutExp]))</f>
        <v>0</v>
      </c>
      <c r="W5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145.45693277310923</v>
      </c>
      <c r="X5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145.45693277310923</v>
      </c>
      <c r="Y58" s="3">
        <f>ABS(Table15[[#This Row],[motor]]-Table15[[#This Row],[motorEco]])</f>
        <v>0</v>
      </c>
    </row>
    <row r="59" spans="1:25" x14ac:dyDescent="0.25">
      <c r="A59" s="3">
        <v>7250</v>
      </c>
      <c r="B5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13"/>
      <c r="D5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13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9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23" t="str">
        <f>IF(Table15[[#This Row],[rpm]]&lt;1,Table7[xmlComment],IF(A58&gt;Table36[normRpm],"",IF(Table15[[#This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9" s="3">
        <f>(1-(1-Table15[[#This Row],[rpm]]/Table36[idleRpm])^2)*Table7[idleT]</f>
        <v>-31577.387543252597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0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-31577.387543252597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0</v>
      </c>
      <c r="V59" s="3">
        <f>MAX(0,Table7[Nm2Eco]*MIN(Table36[ratedRpm]/MAX(1,Table15[[#This Row],[rpm]]),1-(MAX(0,Table15[[#This Row],[rpm]]-Table36[ratedRpm])/Table36[fadeOut])^Table36[fadeOutExp]))</f>
        <v>0</v>
      </c>
      <c r="W5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140.44117647058823</v>
      </c>
      <c r="X5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140.44117647058823</v>
      </c>
      <c r="Y59" s="3">
        <f>ABS(Table15[[#This Row],[motor]]-Table15[[#This Row],[motorEco]])</f>
        <v>0</v>
      </c>
    </row>
    <row r="60" spans="1:25" x14ac:dyDescent="0.25">
      <c r="A60" s="3">
        <v>7500</v>
      </c>
      <c r="B6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13"/>
      <c r="D6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13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0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23" t="str">
        <f>IF(Table15[[#This Row],[rpm]]&lt;1,Table7[xmlComment],IF(A59&gt;Table36[normRpm],"",IF(Table15[[#This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0" s="3">
        <f>(1-(1-Table15[[#This Row],[rpm]]/Table36[idleRpm])^2)*Table7[idleT]</f>
        <v>-34137.71626297578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0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-34137.71626297578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0</v>
      </c>
      <c r="V60" s="3">
        <f>MAX(0,Table7[Nm2Eco]*MIN(Table36[ratedRpm]/MAX(1,Table15[[#This Row],[rpm]]),1-(MAX(0,Table15[[#This Row],[rpm]]-Table36[ratedRpm])/Table36[fadeOut])^Table36[fadeOutExp]))</f>
        <v>0</v>
      </c>
      <c r="W6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135.75980392156862</v>
      </c>
      <c r="X6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135.75980392156862</v>
      </c>
      <c r="Y60" s="3">
        <f>ABS(Table15[[#This Row],[motor]]-Table15[[#This Row],[motorEco]])</f>
        <v>0</v>
      </c>
    </row>
    <row r="61" spans="1:25" x14ac:dyDescent="0.25">
      <c r="A61" s="3">
        <v>7750</v>
      </c>
      <c r="B6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13"/>
      <c r="D6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13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1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23" t="str">
        <f>IF(Table15[[#This Row],[rpm]]&lt;1,Table7[xmlComment],IF(A60&gt;Table36[normRpm],"",IF(Table15[[#This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1" s="3">
        <f>(1-(1-Table15[[#This Row],[rpm]]/Table36[idleRpm])^2)*Table7[idleT]</f>
        <v>-36796.141868512103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0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-36796.141868512103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0</v>
      </c>
      <c r="V61" s="3">
        <f>MAX(0,Table7[Nm2Eco]*MIN(Table36[ratedRpm]/MAX(1,Table15[[#This Row],[rpm]]),1-(MAX(0,Table15[[#This Row],[rpm]]-Table36[ratedRpm])/Table36[fadeOut])^Table36[fadeOutExp]))</f>
        <v>0</v>
      </c>
      <c r="W6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131.38045540796963</v>
      </c>
      <c r="X6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131.38045540796963</v>
      </c>
      <c r="Y61" s="3">
        <f>ABS(Table15[[#This Row],[motor]]-Table15[[#This Row],[motorEco]])</f>
        <v>0</v>
      </c>
    </row>
    <row r="62" spans="1:25" x14ac:dyDescent="0.25">
      <c r="A62" s="3">
        <v>8000</v>
      </c>
      <c r="B6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13"/>
      <c r="D6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13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2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23" t="str">
        <f>IF(Table15[[#This Row],[rpm]]&lt;1,Table7[xmlComment],IF(A61&gt;Table36[normRpm],"",IF(Table15[[#This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2" s="3">
        <f>(1-(1-Table15[[#This Row],[rpm]]/Table36[idleRpm])^2)*Table7[idleT]</f>
        <v>-39552.664359861592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0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-39552.664359861592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0</v>
      </c>
      <c r="V62" s="3">
        <f>MAX(0,Table7[Nm2Eco]*MIN(Table36[ratedRpm]/MAX(1,Table15[[#This Row],[rpm]]),1-(MAX(0,Table15[[#This Row],[rpm]]-Table36[ratedRpm])/Table36[fadeOut])^Table36[fadeOutExp]))</f>
        <v>0</v>
      </c>
      <c r="W6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127.27481617647058</v>
      </c>
      <c r="X6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127.27481617647058</v>
      </c>
      <c r="Y62" s="3">
        <f>ABS(Table15[[#This Row],[motor]]-Table15[[#This Row],[motorEco]])</f>
        <v>0</v>
      </c>
    </row>
    <row r="63" spans="1:25" x14ac:dyDescent="0.25">
      <c r="A63" s="3">
        <v>8250</v>
      </c>
      <c r="B6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3" s="13"/>
      <c r="D6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3" s="13"/>
      <c r="F63" s="3">
        <f>Table36[Factor]*IF(Table15[[#This Row],[manualData]]&gt;0,Table15[[#This Row],[manualData]],Table15[[#This Row],[rawData]])</f>
        <v>0</v>
      </c>
      <c r="G63" s="3">
        <f>Table36[Factor]*IF(Table15[[#This Row],[manDataEco]]&gt;0,Table15[[#This Row],[manDataEco]],Table15[[#This Row],[rawDataEco]])</f>
        <v>0</v>
      </c>
      <c r="H63" s="3">
        <f>1.36*Table15[[#This Row],[rpm]]*Table15[[#This Row],[motor]]/9550</f>
        <v>0</v>
      </c>
      <c r="I63" s="3">
        <f>1.36*Table15[[#This Row],[rpm]]*Table15[[#This Row],[motorEco]]/9550</f>
        <v>0</v>
      </c>
      <c r="J6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3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3" s="23" t="str">
        <f>IF(Table15[[#This Row],[rpm]]&lt;1,Table7[xmlComment],IF(A62&gt;Table36[normRpm],"",IF(Table15[[#This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3" s="3">
        <f>(1-(1-Table15[[#This Row],[rpm]]/Table36[idleRpm])^2)*Table7[idleT]</f>
        <v>-42407.28373702422</v>
      </c>
      <c r="N63" s="3">
        <f>MAX(0,(1-Table7[f1]*(Table36[maxTRpm1]-Table15[[#This Row],[rpm]])^2)*Table36[maxT])</f>
        <v>0</v>
      </c>
      <c r="O63" s="3">
        <f>MAX(0,(Table36[linearDown]*(1-Table7[f2]*(Table15[[#This Row],[rpm]]-Table36[maxTRpm]))+(1-Table36[linearDown])*(1-Table7[f3]*(Table15[[#This Row],[rpm]]-Table36[maxTRpm])^2))*Table36[maxT])</f>
        <v>0</v>
      </c>
      <c r="P63" s="3">
        <f>MAX(0,(Table36[maxPS]-Table7[f4]*(Table15[[#This Row],[rpm]]-Table36[maxPRpm])^2)/1.36*9550/MAX(1,Table15[[#This Row],[rpm]]))</f>
        <v>0</v>
      </c>
      <c r="Q63" s="3">
        <f>MAX(0,Table7[Nm2]*MIN(Table36[ratedRpm]/MAX(1,Table15[[#This Row],[rpm]]),1-(MAX(0,Table15[[#This Row],[rpm]]-Table36[ratedRpm])/Table36[fadeOut])^Table36[fadeOutExp]))</f>
        <v>0</v>
      </c>
      <c r="R63" s="3">
        <f>(1-(1-Table15[[#This Row],[rpm]]/Table36[idleRpm])^2)*Table7[idleTEco]</f>
        <v>-42407.28373702422</v>
      </c>
      <c r="S63" s="3">
        <f>MAX(0,(1-Table7[f1]*(Table36[maxTRpm1]-Table15[[#This Row],[rpm]])^2)*Table36[maxTEco])</f>
        <v>0</v>
      </c>
      <c r="T63" s="3">
        <f>MAX(0,(Table36[linearDown]*(1-Table7[f2Eco]*(Table15[[#This Row],[rpm]]-Table36[maxTRpm]))+(1-Table36[linearDown])*(1-Table7[f3Eco]*(Table15[[#This Row],[rpm]]-Table36[maxTRpm])^2))*Table36[maxTEco])</f>
        <v>0</v>
      </c>
      <c r="U63" s="3">
        <f>MAX(0,(Table36[maxPSEco]-Table7[f4Eco]*(Table15[[#This Row],[rpm]]-Table36[maxPRpm])^2)/1.36*9550/MAX(1,Table15[[#This Row],[rpm]]))</f>
        <v>0</v>
      </c>
      <c r="V63" s="3">
        <f>MAX(0,Table7[Nm2Eco]*MIN(Table36[ratedRpm]/MAX(1,Table15[[#This Row],[rpm]]),1-(MAX(0,Table15[[#This Row],[rpm]]-Table36[ratedRpm])/Table36[fadeOut])^Table36[fadeOutExp]))</f>
        <v>0</v>
      </c>
      <c r="W6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123.41800356506238</v>
      </c>
      <c r="X6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123.41800356506238</v>
      </c>
      <c r="Y63" s="3">
        <f>ABS(Table15[[#This Row],[motor]]-Table15[[#This Row],[motorEco]])</f>
        <v>0</v>
      </c>
    </row>
    <row r="64" spans="1:25" x14ac:dyDescent="0.25">
      <c r="A64" s="3">
        <v>8500</v>
      </c>
      <c r="B6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4" s="13"/>
      <c r="D6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4" s="13"/>
      <c r="F64" s="3">
        <f>Table36[Factor]*IF(Table15[[#This Row],[manualData]]&gt;0,Table15[[#This Row],[manualData]],Table15[[#This Row],[rawData]])</f>
        <v>0</v>
      </c>
      <c r="G64" s="3">
        <f>Table36[Factor]*IF(Table15[[#This Row],[manDataEco]]&gt;0,Table15[[#This Row],[manDataEco]],Table15[[#This Row],[rawDataEco]])</f>
        <v>0</v>
      </c>
      <c r="H64" s="3">
        <f>1.36*Table15[[#This Row],[rpm]]*Table15[[#This Row],[motor]]/9550</f>
        <v>0</v>
      </c>
      <c r="I64" s="3">
        <f>1.36*Table15[[#This Row],[rpm]]*Table15[[#This Row],[motorEco]]/9550</f>
        <v>0</v>
      </c>
      <c r="J6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4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4" s="23" t="str">
        <f>IF(Table15[[#This Row],[rpm]]&lt;1,Table7[xmlComment],IF(A63&gt;Table36[normRpm],"",IF(Table15[[#This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4" s="3">
        <f>(1-(1-Table15[[#This Row],[rpm]]/Table36[idleRpm])^2)*Table7[idleT]</f>
        <v>-45360</v>
      </c>
      <c r="N64" s="3">
        <f>MAX(0,(1-Table7[f1]*(Table36[maxTRpm1]-Table15[[#This Row],[rpm]])^2)*Table36[maxT])</f>
        <v>0</v>
      </c>
      <c r="O64" s="3">
        <f>MAX(0,(Table36[linearDown]*(1-Table7[f2]*(Table15[[#This Row],[rpm]]-Table36[maxTRpm]))+(1-Table36[linearDown])*(1-Table7[f3]*(Table15[[#This Row],[rpm]]-Table36[maxTRpm])^2))*Table36[maxT])</f>
        <v>0</v>
      </c>
      <c r="P64" s="3">
        <f>MAX(0,(Table36[maxPS]-Table7[f4]*(Table15[[#This Row],[rpm]]-Table36[maxPRpm])^2)/1.36*9550/MAX(1,Table15[[#This Row],[rpm]]))</f>
        <v>0</v>
      </c>
      <c r="Q64" s="3">
        <f>MAX(0,Table7[Nm2]*MIN(Table36[ratedRpm]/MAX(1,Table15[[#This Row],[rpm]]),1-(MAX(0,Table15[[#This Row],[rpm]]-Table36[ratedRpm])/Table36[fadeOut])^Table36[fadeOutExp]))</f>
        <v>0</v>
      </c>
      <c r="R64" s="3">
        <f>(1-(1-Table15[[#This Row],[rpm]]/Table36[idleRpm])^2)*Table7[idleTEco]</f>
        <v>-45360</v>
      </c>
      <c r="S64" s="3">
        <f>MAX(0,(1-Table7[f1]*(Table36[maxTRpm1]-Table15[[#This Row],[rpm]])^2)*Table36[maxTEco])</f>
        <v>0</v>
      </c>
      <c r="T64" s="3">
        <f>MAX(0,(Table36[linearDown]*(1-Table7[f2Eco]*(Table15[[#This Row],[rpm]]-Table36[maxTRpm]))+(1-Table36[linearDown])*(1-Table7[f3Eco]*(Table15[[#This Row],[rpm]]-Table36[maxTRpm])^2))*Table36[maxTEco])</f>
        <v>0</v>
      </c>
      <c r="U64" s="3">
        <f>MAX(0,(Table36[maxPSEco]-Table7[f4Eco]*(Table15[[#This Row],[rpm]]-Table36[maxPRpm])^2)/1.36*9550/MAX(1,Table15[[#This Row],[rpm]]))</f>
        <v>0</v>
      </c>
      <c r="V64" s="3">
        <f>MAX(0,Table7[Nm2Eco]*MIN(Table36[ratedRpm]/MAX(1,Table15[[#This Row],[rpm]]),1-(MAX(0,Table15[[#This Row],[rpm]]-Table36[ratedRpm])/Table36[fadeOut])^Table36[fadeOutExp]))</f>
        <v>0</v>
      </c>
      <c r="W6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119.78806228373701</v>
      </c>
      <c r="X6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119.78806228373701</v>
      </c>
      <c r="Y64" s="3">
        <f>ABS(Table15[[#This Row],[motor]]-Table15[[#This Row],[motorEco]])</f>
        <v>0</v>
      </c>
    </row>
    <row r="65" spans="1:25" x14ac:dyDescent="0.25">
      <c r="A65" s="3">
        <v>8750</v>
      </c>
      <c r="B6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5" s="13"/>
      <c r="D6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5" s="13"/>
      <c r="F65" s="3">
        <f>Table36[Factor]*IF(Table15[[#This Row],[manualData]]&gt;0,Table15[[#This Row],[manualData]],Table15[[#This Row],[rawData]])</f>
        <v>0</v>
      </c>
      <c r="G65" s="3">
        <f>Table36[Factor]*IF(Table15[[#This Row],[manDataEco]]&gt;0,Table15[[#This Row],[manDataEco]],Table15[[#This Row],[rawDataEco]])</f>
        <v>0</v>
      </c>
      <c r="H65" s="3">
        <f>1.36*Table15[[#This Row],[rpm]]*Table15[[#This Row],[motor]]/9550</f>
        <v>0</v>
      </c>
      <c r="I65" s="3">
        <f>1.36*Table15[[#This Row],[rpm]]*Table15[[#This Row],[motorEco]]/9550</f>
        <v>0</v>
      </c>
      <c r="J6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5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5" s="23" t="str">
        <f>IF(Table15[[#This Row],[rpm]]&lt;1,Table7[xmlComment],IF(A64&gt;Table36[normRpm],"",IF(Table15[[#This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5" s="3">
        <f>(1-(1-Table15[[#This Row],[rpm]]/Table36[idleRpm])^2)*Table7[idleT]</f>
        <v>-48410.813148788933</v>
      </c>
      <c r="N65" s="3">
        <f>MAX(0,(1-Table7[f1]*(Table36[maxTRpm1]-Table15[[#This Row],[rpm]])^2)*Table36[maxT])</f>
        <v>0</v>
      </c>
      <c r="O65" s="3">
        <f>MAX(0,(Table36[linearDown]*(1-Table7[f2]*(Table15[[#This Row],[rpm]]-Table36[maxTRpm]))+(1-Table36[linearDown])*(1-Table7[f3]*(Table15[[#This Row],[rpm]]-Table36[maxTRpm])^2))*Table36[maxT])</f>
        <v>0</v>
      </c>
      <c r="P65" s="3">
        <f>MAX(0,(Table36[maxPS]-Table7[f4]*(Table15[[#This Row],[rpm]]-Table36[maxPRpm])^2)/1.36*9550/MAX(1,Table15[[#This Row],[rpm]]))</f>
        <v>0</v>
      </c>
      <c r="Q65" s="3">
        <f>MAX(0,Table7[Nm2]*MIN(Table36[ratedRpm]/MAX(1,Table15[[#This Row],[rpm]]),1-(MAX(0,Table15[[#This Row],[rpm]]-Table36[ratedRpm])/Table36[fadeOut])^Table36[fadeOutExp]))</f>
        <v>0</v>
      </c>
      <c r="R65" s="3">
        <f>(1-(1-Table15[[#This Row],[rpm]]/Table36[idleRpm])^2)*Table7[idleTEco]</f>
        <v>-48410.813148788933</v>
      </c>
      <c r="S65" s="3">
        <f>MAX(0,(1-Table7[f1]*(Table36[maxTRpm1]-Table15[[#This Row],[rpm]])^2)*Table36[maxTEco])</f>
        <v>0</v>
      </c>
      <c r="T65" s="3">
        <f>MAX(0,(Table36[linearDown]*(1-Table7[f2Eco]*(Table15[[#This Row],[rpm]]-Table36[maxTRpm]))+(1-Table36[linearDown])*(1-Table7[f3Eco]*(Table15[[#This Row],[rpm]]-Table36[maxTRpm])^2))*Table36[maxTEco])</f>
        <v>0</v>
      </c>
      <c r="U65" s="3">
        <f>MAX(0,(Table36[maxPSEco]-Table7[f4Eco]*(Table15[[#This Row],[rpm]]-Table36[maxPRpm])^2)/1.36*9550/MAX(1,Table15[[#This Row],[rpm]]))</f>
        <v>0</v>
      </c>
      <c r="V65" s="3">
        <f>MAX(0,Table7[Nm2Eco]*MIN(Table36[ratedRpm]/MAX(1,Table15[[#This Row],[rpm]]),1-(MAX(0,Table15[[#This Row],[rpm]]-Table36[ratedRpm])/Table36[fadeOut])^Table36[fadeOutExp]))</f>
        <v>0</v>
      </c>
      <c r="W6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116.36554621848738</v>
      </c>
      <c r="X6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116.36554621848738</v>
      </c>
      <c r="Y65" s="3">
        <f>ABS(Table15[[#This Row],[motor]]-Table15[[#This Row],[motorEco]])</f>
        <v>0</v>
      </c>
    </row>
    <row r="66" spans="1:25" x14ac:dyDescent="0.25">
      <c r="A66" s="3">
        <v>9000</v>
      </c>
      <c r="B6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6" s="13"/>
      <c r="D6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6" s="13"/>
      <c r="F66" s="3">
        <f>Table36[Factor]*IF(Table15[[#This Row],[manualData]]&gt;0,Table15[[#This Row],[manualData]],Table15[[#This Row],[rawData]])</f>
        <v>0</v>
      </c>
      <c r="G66" s="3">
        <f>Table36[Factor]*IF(Table15[[#This Row],[manDataEco]]&gt;0,Table15[[#This Row],[manDataEco]],Table15[[#This Row],[rawDataEco]])</f>
        <v>0</v>
      </c>
      <c r="H66" s="3">
        <f>1.36*Table15[[#This Row],[rpm]]*Table15[[#This Row],[motor]]/9550</f>
        <v>0</v>
      </c>
      <c r="I66" s="3">
        <f>1.36*Table15[[#This Row],[rpm]]*Table15[[#This Row],[motorEco]]/9550</f>
        <v>0</v>
      </c>
      <c r="J6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6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6" s="23" t="str">
        <f>IF(Table15[[#This Row],[rpm]]&lt;1,Table7[xmlComment],IF(A65&gt;Table36[normRpm],"",IF(Table15[[#This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6" s="3">
        <f>(1-(1-Table15[[#This Row],[rpm]]/Table36[idleRpm])^2)*Table7[idleT]</f>
        <v>-51559.723183391005</v>
      </c>
      <c r="N66" s="3">
        <f>MAX(0,(1-Table7[f1]*(Table36[maxTRpm1]-Table15[[#This Row],[rpm]])^2)*Table36[maxT])</f>
        <v>0</v>
      </c>
      <c r="O66" s="3">
        <f>MAX(0,(Table36[linearDown]*(1-Table7[f2]*(Table15[[#This Row],[rpm]]-Table36[maxTRpm]))+(1-Table36[linearDown])*(1-Table7[f3]*(Table15[[#This Row],[rpm]]-Table36[maxTRpm])^2))*Table36[maxT])</f>
        <v>0</v>
      </c>
      <c r="P66" s="3">
        <f>MAX(0,(Table36[maxPS]-Table7[f4]*(Table15[[#This Row],[rpm]]-Table36[maxPRpm])^2)/1.36*9550/MAX(1,Table15[[#This Row],[rpm]]))</f>
        <v>0</v>
      </c>
      <c r="Q66" s="3">
        <f>MAX(0,Table7[Nm2]*MIN(Table36[ratedRpm]/MAX(1,Table15[[#This Row],[rpm]]),1-(MAX(0,Table15[[#This Row],[rpm]]-Table36[ratedRpm])/Table36[fadeOut])^Table36[fadeOutExp]))</f>
        <v>0</v>
      </c>
      <c r="R66" s="3">
        <f>(1-(1-Table15[[#This Row],[rpm]]/Table36[idleRpm])^2)*Table7[idleTEco]</f>
        <v>-51559.723183391005</v>
      </c>
      <c r="S66" s="3">
        <f>MAX(0,(1-Table7[f1]*(Table36[maxTRpm1]-Table15[[#This Row],[rpm]])^2)*Table36[maxTEco])</f>
        <v>0</v>
      </c>
      <c r="T66" s="3">
        <f>MAX(0,(Table36[linearDown]*(1-Table7[f2Eco]*(Table15[[#This Row],[rpm]]-Table36[maxTRpm]))+(1-Table36[linearDown])*(1-Table7[f3Eco]*(Table15[[#This Row],[rpm]]-Table36[maxTRpm])^2))*Table36[maxTEco])</f>
        <v>0</v>
      </c>
      <c r="U66" s="3">
        <f>MAX(0,(Table36[maxPSEco]-Table7[f4Eco]*(Table15[[#This Row],[rpm]]-Table36[maxPRpm])^2)/1.36*9550/MAX(1,Table15[[#This Row],[rpm]]))</f>
        <v>0</v>
      </c>
      <c r="V66" s="3">
        <f>MAX(0,Table7[Nm2Eco]*MIN(Table36[ratedRpm]/MAX(1,Table15[[#This Row],[rpm]]),1-(MAX(0,Table15[[#This Row],[rpm]]-Table36[ratedRpm])/Table36[fadeOut])^Table36[fadeOutExp]))</f>
        <v>0</v>
      </c>
      <c r="W6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113.13316993464051</v>
      </c>
      <c r="X6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113.13316993464051</v>
      </c>
      <c r="Y66" s="3">
        <f>ABS(Table15[[#This Row],[motor]]-Table15[[#This Row],[motorEco]])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6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6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6">
    <cfRule type="dataBar" priority="2">
      <dataBar>
        <cfvo type="num" val="$U$2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H7:H66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H7:I66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F7:G66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num">
                <xm:f>$U$2</xm:f>
              </x14:cfvo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J7:J66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normRpm="0,381" torque="0,884"/&gt;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normRpm="0,429" torque="0,928"/&gt;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normRpm="0,476" torque="0,952"/&gt;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normRpm="0,524" torque="0,969"/&gt;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normRpm="0,571" torque="0,983"/&gt;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normRpm="0,619" torque="0,993"/&gt;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normRpm="0,667"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normRpm="0,714" torque="0,986"/&gt;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normRpm="0,762" torque="0,962"/&gt;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normRpm="0,81" torque="0,932"/&gt;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normRpm="0,857" torque="0,901"/&gt;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normRpm="0,905" torque="0,87"/&gt;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normRpm="0,952" torque="0,826"/&gt;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torque="0,787"/&gt;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normRpm="1,048" torque="0,68"/&gt;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normRpm="1,095"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normRpm="1,143"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normRpm="1,19"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5"/>
  <sheetViews>
    <sheetView workbookViewId="0">
      <selection activeCell="B2" sqref="B2"/>
    </sheetView>
  </sheetViews>
  <sheetFormatPr defaultColWidth="9.28515625" defaultRowHeight="15" x14ac:dyDescent="0.25"/>
  <cols>
    <col min="2" max="3" width="11" customWidth="1"/>
  </cols>
  <sheetData>
    <row r="1" spans="1:12" ht="63" thickBot="1" x14ac:dyDescent="0.3">
      <c r="A1" s="28" t="s">
        <v>18</v>
      </c>
      <c r="B1" s="29" t="s">
        <v>23</v>
      </c>
      <c r="C1" s="29" t="s">
        <v>8</v>
      </c>
      <c r="D1" s="29" t="s">
        <v>10</v>
      </c>
      <c r="E1" s="29" t="s">
        <v>22</v>
      </c>
      <c r="F1" s="29" t="s">
        <v>12</v>
      </c>
      <c r="G1" s="30" t="s">
        <v>13</v>
      </c>
      <c r="H1" s="35" t="s">
        <v>14</v>
      </c>
      <c r="I1" s="35" t="s">
        <v>27</v>
      </c>
      <c r="K1" s="26" t="s">
        <v>19</v>
      </c>
      <c r="L1" s="26" t="s">
        <v>20</v>
      </c>
    </row>
    <row r="2" spans="1:12" x14ac:dyDescent="0.25">
      <c r="A2" s="31">
        <v>1900</v>
      </c>
      <c r="B2" s="32">
        <v>396</v>
      </c>
      <c r="C2" s="33">
        <v>2100</v>
      </c>
      <c r="D2" s="34">
        <v>390</v>
      </c>
      <c r="E2" s="31">
        <v>1450</v>
      </c>
      <c r="F2" s="32">
        <v>1450</v>
      </c>
      <c r="G2" s="32">
        <v>1538</v>
      </c>
      <c r="H2" s="19">
        <v>800</v>
      </c>
      <c r="I2" s="36">
        <v>1.0900000000000001</v>
      </c>
      <c r="K2" s="27">
        <f>Table2[maxPS]/1.36*9550/Table2[maxPRpm]</f>
        <v>1463.5448916408668</v>
      </c>
      <c r="L2" s="27">
        <f>Table2[PS]/1.36*9550/Table2[ratedRpm]</f>
        <v>1304.0966386554621</v>
      </c>
    </row>
    <row r="4" spans="1:12" x14ac:dyDescent="0.25">
      <c r="A4" t="s">
        <v>78</v>
      </c>
      <c r="B4" t="s">
        <v>19</v>
      </c>
      <c r="C4" t="s">
        <v>77</v>
      </c>
    </row>
    <row r="5" spans="1:12" x14ac:dyDescent="0.25">
      <c r="A5">
        <v>0</v>
      </c>
      <c r="B5">
        <v>0</v>
      </c>
      <c r="C5">
        <f>B5*A5/9550</f>
        <v>0</v>
      </c>
    </row>
    <row r="6" spans="1:12" x14ac:dyDescent="0.25">
      <c r="A6">
        <v>1000</v>
      </c>
      <c r="B6">
        <f>Table2[Anfahrmoment]*L2</f>
        <v>1421.4653361344538</v>
      </c>
      <c r="C6">
        <f t="shared" ref="C6:C10" si="0">B6*A6/9550</f>
        <v>148.84453781512605</v>
      </c>
    </row>
    <row r="7" spans="1:12" x14ac:dyDescent="0.25">
      <c r="A7">
        <f>Table2[maxTRpm1]</f>
        <v>1450</v>
      </c>
      <c r="B7">
        <f>Table2[maxT]</f>
        <v>1538</v>
      </c>
      <c r="C7">
        <f t="shared" si="0"/>
        <v>233.51832460732984</v>
      </c>
    </row>
    <row r="8" spans="1:12" x14ac:dyDescent="0.25">
      <c r="A8">
        <f>Table2[maxTRpm]</f>
        <v>1450</v>
      </c>
      <c r="B8">
        <f>Table2[maxT]</f>
        <v>1538</v>
      </c>
      <c r="C8">
        <f t="shared" si="0"/>
        <v>233.51832460732984</v>
      </c>
    </row>
    <row r="9" spans="1:12" x14ac:dyDescent="0.25">
      <c r="A9">
        <f>Table2[maxPRpm]</f>
        <v>1900</v>
      </c>
      <c r="B9">
        <f>K2</f>
        <v>1463.5448916408668</v>
      </c>
      <c r="C9">
        <f t="shared" si="0"/>
        <v>291.17647058823525</v>
      </c>
    </row>
    <row r="10" spans="1:12" x14ac:dyDescent="0.25">
      <c r="A10">
        <f>Table2[ratedRpm]</f>
        <v>2100</v>
      </c>
      <c r="B10">
        <f>L2</f>
        <v>1304.0966386554621</v>
      </c>
      <c r="C10">
        <f t="shared" si="0"/>
        <v>286.76470588235293</v>
      </c>
    </row>
    <row r="11" spans="1:12" x14ac:dyDescent="0.25">
      <c r="A11">
        <f>Table2[ratedRpm]+200</f>
        <v>2300</v>
      </c>
      <c r="B11">
        <v>0</v>
      </c>
      <c r="C11">
        <f>B11*A11/9550</f>
        <v>0</v>
      </c>
    </row>
    <row r="14" spans="1:12" x14ac:dyDescent="0.25">
      <c r="A14" t="s">
        <v>78</v>
      </c>
      <c r="B14" t="s">
        <v>79</v>
      </c>
      <c r="C14" t="s">
        <v>80</v>
      </c>
    </row>
    <row r="15" spans="1:12" x14ac:dyDescent="0.25">
      <c r="A15">
        <v>0</v>
      </c>
    </row>
    <row r="16" spans="1:12" x14ac:dyDescent="0.25">
      <c r="A16">
        <v>50</v>
      </c>
    </row>
    <row r="17" spans="1:1" x14ac:dyDescent="0.25">
      <c r="A17">
        <v>100</v>
      </c>
    </row>
    <row r="18" spans="1:1" x14ac:dyDescent="0.25">
      <c r="A18">
        <v>150</v>
      </c>
    </row>
    <row r="19" spans="1:1" x14ac:dyDescent="0.25">
      <c r="A19">
        <v>200</v>
      </c>
    </row>
    <row r="20" spans="1:1" x14ac:dyDescent="0.25">
      <c r="A20">
        <v>250</v>
      </c>
    </row>
    <row r="21" spans="1:1" x14ac:dyDescent="0.25">
      <c r="A21">
        <v>300</v>
      </c>
    </row>
    <row r="22" spans="1:1" x14ac:dyDescent="0.25">
      <c r="A22">
        <v>350</v>
      </c>
    </row>
    <row r="23" spans="1:1" x14ac:dyDescent="0.25">
      <c r="A23">
        <v>400</v>
      </c>
    </row>
    <row r="24" spans="1:1" x14ac:dyDescent="0.25">
      <c r="A24">
        <v>450</v>
      </c>
    </row>
    <row r="25" spans="1:1" x14ac:dyDescent="0.25">
      <c r="A25">
        <v>500</v>
      </c>
    </row>
    <row r="26" spans="1:1" x14ac:dyDescent="0.25">
      <c r="A26">
        <v>550</v>
      </c>
    </row>
    <row r="27" spans="1:1" x14ac:dyDescent="0.25">
      <c r="A27">
        <v>600</v>
      </c>
    </row>
    <row r="28" spans="1:1" x14ac:dyDescent="0.25">
      <c r="A28">
        <v>650</v>
      </c>
    </row>
    <row r="29" spans="1:1" x14ac:dyDescent="0.25">
      <c r="A29">
        <v>700</v>
      </c>
    </row>
    <row r="30" spans="1:1" x14ac:dyDescent="0.25">
      <c r="A30">
        <v>750</v>
      </c>
    </row>
    <row r="31" spans="1:1" x14ac:dyDescent="0.25">
      <c r="A31">
        <v>800</v>
      </c>
    </row>
    <row r="32" spans="1:1" x14ac:dyDescent="0.25">
      <c r="A32">
        <v>850</v>
      </c>
    </row>
    <row r="33" spans="1:1" x14ac:dyDescent="0.25">
      <c r="A33">
        <v>900</v>
      </c>
    </row>
    <row r="34" spans="1:1" x14ac:dyDescent="0.25">
      <c r="A34">
        <v>950</v>
      </c>
    </row>
    <row r="35" spans="1:1" x14ac:dyDescent="0.25">
      <c r="A35">
        <v>1000</v>
      </c>
    </row>
    <row r="36" spans="1:1" x14ac:dyDescent="0.25">
      <c r="A36">
        <v>1050</v>
      </c>
    </row>
    <row r="37" spans="1:1" x14ac:dyDescent="0.25">
      <c r="A37">
        <v>1100</v>
      </c>
    </row>
    <row r="38" spans="1:1" x14ac:dyDescent="0.25">
      <c r="A38">
        <v>1150</v>
      </c>
    </row>
    <row r="39" spans="1:1" x14ac:dyDescent="0.25">
      <c r="A39">
        <v>1200</v>
      </c>
    </row>
    <row r="40" spans="1:1" x14ac:dyDescent="0.25">
      <c r="A40">
        <v>1250</v>
      </c>
    </row>
    <row r="41" spans="1:1" x14ac:dyDescent="0.25">
      <c r="A41">
        <v>1300</v>
      </c>
    </row>
    <row r="42" spans="1:1" x14ac:dyDescent="0.25">
      <c r="A42">
        <v>1350</v>
      </c>
    </row>
    <row r="43" spans="1:1" x14ac:dyDescent="0.25">
      <c r="A43">
        <v>1400</v>
      </c>
    </row>
    <row r="44" spans="1:1" x14ac:dyDescent="0.25">
      <c r="A44">
        <v>1450</v>
      </c>
    </row>
    <row r="45" spans="1:1" x14ac:dyDescent="0.25">
      <c r="A45">
        <v>1500</v>
      </c>
    </row>
    <row r="46" spans="1:1" x14ac:dyDescent="0.25">
      <c r="A46">
        <v>1550</v>
      </c>
    </row>
    <row r="47" spans="1:1" x14ac:dyDescent="0.25">
      <c r="A47">
        <v>1600</v>
      </c>
    </row>
    <row r="48" spans="1:1" x14ac:dyDescent="0.25">
      <c r="A48">
        <v>1650</v>
      </c>
    </row>
    <row r="49" spans="1:1" x14ac:dyDescent="0.25">
      <c r="A49">
        <v>1700</v>
      </c>
    </row>
    <row r="50" spans="1:1" x14ac:dyDescent="0.25">
      <c r="A50">
        <v>1750</v>
      </c>
    </row>
    <row r="51" spans="1:1" x14ac:dyDescent="0.25">
      <c r="A51">
        <v>1800</v>
      </c>
    </row>
    <row r="52" spans="1:1" x14ac:dyDescent="0.25">
      <c r="A52">
        <v>1850</v>
      </c>
    </row>
    <row r="53" spans="1:1" x14ac:dyDescent="0.25">
      <c r="A53">
        <v>1900</v>
      </c>
    </row>
    <row r="54" spans="1:1" x14ac:dyDescent="0.25">
      <c r="A54">
        <v>1950</v>
      </c>
    </row>
    <row r="55" spans="1:1" x14ac:dyDescent="0.25">
      <c r="A55">
        <v>2000</v>
      </c>
    </row>
    <row r="56" spans="1:1" x14ac:dyDescent="0.25">
      <c r="A56">
        <v>2050</v>
      </c>
    </row>
    <row r="57" spans="1:1" x14ac:dyDescent="0.25">
      <c r="A57">
        <v>2100</v>
      </c>
    </row>
    <row r="58" spans="1:1" x14ac:dyDescent="0.25">
      <c r="A58">
        <v>2150</v>
      </c>
    </row>
    <row r="59" spans="1:1" x14ac:dyDescent="0.25">
      <c r="A59">
        <v>2200</v>
      </c>
    </row>
    <row r="60" spans="1:1" x14ac:dyDescent="0.25">
      <c r="A60">
        <v>2250</v>
      </c>
    </row>
    <row r="61" spans="1:1" x14ac:dyDescent="0.25">
      <c r="A61">
        <v>2300</v>
      </c>
    </row>
    <row r="62" spans="1:1" x14ac:dyDescent="0.25">
      <c r="A62">
        <v>2350</v>
      </c>
    </row>
    <row r="63" spans="1:1" x14ac:dyDescent="0.25">
      <c r="A63">
        <v>2400</v>
      </c>
    </row>
    <row r="64" spans="1:1" x14ac:dyDescent="0.25">
      <c r="A64">
        <v>2450</v>
      </c>
    </row>
    <row r="65" spans="1:1" x14ac:dyDescent="0.25">
      <c r="A65">
        <v>2500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Sheet2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2018-10-13T16:16:02Z</dcterms:modified>
</cp:coreProperties>
</file>