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3465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3" l="1"/>
  <c r="M2" i="3" l="1"/>
  <c r="H2" i="3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L4" i="3" l="1"/>
  <c r="K4" i="3"/>
  <c r="V2" i="3" l="1"/>
  <c r="J18" i="3" l="1"/>
  <c r="J15" i="3"/>
  <c r="J19" i="3"/>
  <c r="J23" i="3"/>
  <c r="J20" i="3"/>
  <c r="J16" i="3"/>
  <c r="J24" i="3"/>
  <c r="J17" i="3"/>
  <c r="J21" i="3"/>
  <c r="J25" i="3"/>
  <c r="J22" i="3"/>
  <c r="X2" i="3"/>
  <c r="J10" i="3" s="1"/>
  <c r="M4" i="3"/>
  <c r="Y2" i="3"/>
  <c r="L30" i="3" l="1"/>
  <c r="L34" i="3"/>
  <c r="L38" i="3"/>
  <c r="L46" i="3"/>
  <c r="L54" i="3"/>
  <c r="L31" i="3"/>
  <c r="L35" i="3"/>
  <c r="L39" i="3"/>
  <c r="L43" i="3"/>
  <c r="L47" i="3"/>
  <c r="L51" i="3"/>
  <c r="L55" i="3"/>
  <c r="L59" i="3"/>
  <c r="L44" i="3"/>
  <c r="L52" i="3"/>
  <c r="L60" i="3"/>
  <c r="L32" i="3"/>
  <c r="L36" i="3"/>
  <c r="L40" i="3"/>
  <c r="L48" i="3"/>
  <c r="L56" i="3"/>
  <c r="L33" i="3"/>
  <c r="L37" i="3"/>
  <c r="L41" i="3"/>
  <c r="L45" i="3"/>
  <c r="L49" i="3"/>
  <c r="L53" i="3"/>
  <c r="L57" i="3"/>
  <c r="L61" i="3"/>
  <c r="L42" i="3"/>
  <c r="L50" i="3"/>
  <c r="L58" i="3"/>
  <c r="L62" i="3"/>
  <c r="J7" i="3"/>
  <c r="J14" i="3"/>
  <c r="J13" i="3"/>
  <c r="J8" i="3"/>
  <c r="J12" i="3"/>
  <c r="J11" i="3"/>
  <c r="J9" i="3"/>
  <c r="AB2" i="3"/>
  <c r="D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O4" i="3"/>
  <c r="P4" i="3"/>
  <c r="H4" i="3" s="1"/>
  <c r="K7" i="3" l="1"/>
  <c r="L7" i="3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D27" i="3" s="1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0" i="3" l="1"/>
  <c r="D26" i="3"/>
  <c r="D25" i="3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F59" i="3" s="1"/>
  <c r="J59" i="3" s="1"/>
  <c r="Q60" i="3"/>
  <c r="Q57" i="3"/>
  <c r="B57" i="3" s="1"/>
  <c r="F57" i="3" s="1"/>
  <c r="J57" i="3" s="1"/>
  <c r="Q61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J52" i="3" s="1"/>
  <c r="P45" i="3"/>
  <c r="P49" i="3"/>
  <c r="P53" i="3"/>
  <c r="P46" i="3"/>
  <c r="P50" i="3"/>
  <c r="P54" i="3"/>
  <c r="P44" i="3"/>
  <c r="P52" i="3"/>
  <c r="P47" i="3"/>
  <c r="P51" i="3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F51" i="3" l="1"/>
  <c r="J51" i="3" s="1"/>
  <c r="Y52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J44" i="3" s="1"/>
  <c r="O48" i="3"/>
  <c r="F48" i="3" s="1"/>
  <c r="J48" i="3" s="1"/>
  <c r="O52" i="3"/>
  <c r="O51" i="3"/>
  <c r="O45" i="3"/>
  <c r="F45" i="3" s="1"/>
  <c r="J45" i="3" s="1"/>
  <c r="O49" i="3"/>
  <c r="F49" i="3" s="1"/>
  <c r="J49" i="3" s="1"/>
  <c r="O53" i="3"/>
  <c r="O43" i="3"/>
  <c r="F43" i="3" s="1"/>
  <c r="J43" i="3" s="1"/>
  <c r="O46" i="3"/>
  <c r="F46" i="3" s="1"/>
  <c r="J46" i="3" s="1"/>
  <c r="O50" i="3"/>
  <c r="F50" i="3" s="1"/>
  <c r="J50" i="3" s="1"/>
  <c r="O54" i="3"/>
  <c r="O47" i="3"/>
  <c r="F47" i="3" s="1"/>
  <c r="J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J31" i="3" s="1"/>
  <c r="O35" i="3"/>
  <c r="F35" i="3" s="1"/>
  <c r="J35" i="3" s="1"/>
  <c r="O39" i="3"/>
  <c r="F39" i="3" s="1"/>
  <c r="J39" i="3" s="1"/>
  <c r="O8" i="3"/>
  <c r="O12" i="3"/>
  <c r="O16" i="3"/>
  <c r="O20" i="3"/>
  <c r="B20" i="3" s="1"/>
  <c r="O24" i="3"/>
  <c r="O28" i="3"/>
  <c r="F28" i="3" s="1"/>
  <c r="O32" i="3"/>
  <c r="F32" i="3" s="1"/>
  <c r="J32" i="3" s="1"/>
  <c r="O36" i="3"/>
  <c r="F36" i="3" s="1"/>
  <c r="J36" i="3" s="1"/>
  <c r="O40" i="3"/>
  <c r="F40" i="3" s="1"/>
  <c r="J40" i="3" s="1"/>
  <c r="O9" i="3"/>
  <c r="O13" i="3"/>
  <c r="O17" i="3"/>
  <c r="O21" i="3"/>
  <c r="B21" i="3" s="1"/>
  <c r="O25" i="3"/>
  <c r="O29" i="3"/>
  <c r="F29" i="3" s="1"/>
  <c r="O33" i="3"/>
  <c r="F33" i="3" s="1"/>
  <c r="J33" i="3" s="1"/>
  <c r="O37" i="3"/>
  <c r="F37" i="3" s="1"/>
  <c r="J37" i="3" s="1"/>
  <c r="O41" i="3"/>
  <c r="F41" i="3" s="1"/>
  <c r="J41" i="3" s="1"/>
  <c r="O22" i="3"/>
  <c r="O38" i="3"/>
  <c r="F38" i="3" s="1"/>
  <c r="J38" i="3" s="1"/>
  <c r="O34" i="3"/>
  <c r="F34" i="3" s="1"/>
  <c r="J34" i="3" s="1"/>
  <c r="O10" i="3"/>
  <c r="O26" i="3"/>
  <c r="B26" i="3" s="1"/>
  <c r="O42" i="3"/>
  <c r="F42" i="3" s="1"/>
  <c r="J42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J29" i="3" l="1"/>
  <c r="J28" i="3"/>
  <c r="J27" i="3"/>
  <c r="F26" i="3"/>
  <c r="Y51" i="3"/>
  <c r="Y40" i="3"/>
  <c r="Y39" i="3"/>
  <c r="Y46" i="3"/>
  <c r="Y45" i="3"/>
  <c r="Y44" i="3"/>
  <c r="Y50" i="3"/>
  <c r="Y49" i="3"/>
  <c r="Y48" i="3"/>
  <c r="Y47" i="3"/>
  <c r="Y43" i="3"/>
  <c r="Y42" i="3"/>
  <c r="Y4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L29" i="3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28" i="3" l="1"/>
  <c r="L27" i="3"/>
  <c r="J26" i="3"/>
  <c r="L26" i="3"/>
  <c r="L8" i="3"/>
  <c r="L12" i="3"/>
  <c r="L18" i="3"/>
  <c r="L21" i="3"/>
  <c r="L24" i="3"/>
  <c r="H26" i="3"/>
  <c r="L19" i="3"/>
  <c r="L14" i="3"/>
  <c r="L11" i="3"/>
  <c r="L10" i="3"/>
  <c r="L16" i="3"/>
  <c r="L15" i="3"/>
  <c r="L25" i="3"/>
  <c r="L13" i="3"/>
  <c r="L17" i="3"/>
  <c r="L9" i="3"/>
  <c r="L20" i="3"/>
  <c r="L22" i="3"/>
  <c r="L23" i="3"/>
  <c r="Y26" i="3"/>
  <c r="H10" i="3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I10" i="3"/>
  <c r="H20" i="3"/>
  <c r="H21" i="3"/>
  <c r="H19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<sst xmlns="http://schemas.openxmlformats.org/spreadsheetml/2006/main" count="106" uniqueCount="84">
  <si>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</si>
  <si>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</si>
  <si>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</si>
  <si>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</si>
  <si>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</si>
  <si>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</si>
  <si>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</si>
  <si>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</si>
  <si>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</si>
  <si>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</si>
  <si>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</si>
  <si>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</si>
  <si>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</si>
  <si>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</si>
  <si>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</si>
  <si>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</si>
  <si>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</si>
  <si>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</si>
  <si>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</si>
  <si>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</si>
  <si>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</si>
  <si>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</si>
  <si>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</si>
  <si>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</si>
  <si>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</si>
  <si>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</si>
  <si>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</si>
  <si>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</si>
  <si>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</si>
  <si>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</si>
  <si>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</si>
  <si>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</si>
  <si>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</si>
  <si>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</si>
  <si>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</si>
  <si>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</si>
  <si>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</si>
  <si>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</si>
  <si>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</si>
  <si>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</si>
  <si>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</si>
  <si>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</si>
  <si>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</si>
  <si>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</si>
  <si>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</si>
  <si>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</si>
  <si>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</si>
  <si>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</si>
  <si>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</si>
  <si>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</si>
  <si>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</si>
  <si>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</si>
  <si>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</si>
  <si>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</si>
  <si>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</si>
  <si>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</si>
  <si>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</si>
  <si>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</si>
  <si>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</si>
  <si>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</si>
  <si>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</si>
  <si>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</si>
  <si>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</si>
  <si>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</si>
  <si>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</si>
  <si>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</si>
  <si>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</si>
  <si>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</si>
  <si>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</si>
  <si>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</si>
  <si>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</si>
  <si>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</si>
  <si>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</si>
  <si>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</si>
  <si>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</si>
  <si>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</si>
  <si>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</si>
  <si>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</si>
  <si>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</si>
  <si>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</si>
  <si>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</si>
  <si>
    <t>maxPSEcoInput</t>
  </si>
  <si>
    <t>PSEcoInput</t>
  </si>
  <si>
    <t>maxTEcoInput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</si>
</sst>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1" fontId="2" fillId="0" borderId="0" xfId="0" applyNumberFormat="1" applyFont="1"/>
    <xf numFmtId="0" fontId="3" fillId="2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6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9" fontId="5" fillId="0" borderId="12" xfId="1" applyFont="1" applyBorder="1"/>
    <xf numFmtId="9" fontId="0" fillId="0" borderId="12" xfId="1" applyFont="1" applyBorder="1"/>
    <xf numFmtId="0" fontId="5" fillId="0" borderId="3" xfId="0" applyFon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1" applyFont="1" applyFill="1" applyBorder="1"/>
    <xf numFmtId="0" fontId="0" fillId="6" borderId="12" xfId="0" applyFill="1" applyBorder="1"/>
    <xf numFmtId="9" fontId="0" fillId="6" borderId="1" xfId="1" applyFont="1" applyFill="1" applyBorder="1"/>
    <xf numFmtId="9" fontId="0" fillId="6" borderId="3" xfId="1" applyFont="1" applyFill="1" applyBorder="1"/>
  </cellXfs>
  <cellStyles count="2">
    <cellStyle name="Normal" xfId="0" builtinId="0"/>
    <cellStyle name="Percent" xfId="1" builtinId="5"/>
  </cellStyles>
  <dxfs count="96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ont>
        <i/>
        <color theme="0" tint="-0.34998626667073579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306.4771770472895</c:v>
                </c:pt>
                <c:pt idx="2">
                  <c:v>447.66165657439444</c:v>
                </c:pt>
                <c:pt idx="3">
                  <c:v>504.27395833333333</c:v>
                </c:pt>
                <c:pt idx="4">
                  <c:v>528.31562500000007</c:v>
                </c:pt>
                <c:pt idx="5">
                  <c:v>547.5489583333333</c:v>
                </c:pt>
                <c:pt idx="6">
                  <c:v>561.97395833333337</c:v>
                </c:pt>
                <c:pt idx="7">
                  <c:v>571.59062499999993</c:v>
                </c:pt>
                <c:pt idx="8">
                  <c:v>576.39895833333333</c:v>
                </c:pt>
                <c:pt idx="9">
                  <c:v>573.50761734997036</c:v>
                </c:pt>
                <c:pt idx="10">
                  <c:v>565.21320855614977</c:v>
                </c:pt>
                <c:pt idx="11">
                  <c:v>555.17260843731435</c:v>
                </c:pt>
                <c:pt idx="12">
                  <c:v>543.385816993464</c:v>
                </c:pt>
                <c:pt idx="13">
                  <c:v>536.83759952465834</c:v>
                </c:pt>
                <c:pt idx="14">
                  <c:v>529.85283422459895</c:v>
                </c:pt>
                <c:pt idx="15">
                  <c:v>522.43152109328582</c:v>
                </c:pt>
                <c:pt idx="16">
                  <c:v>514.57366013071896</c:v>
                </c:pt>
                <c:pt idx="17">
                  <c:v>506.27925133689837</c:v>
                </c:pt>
                <c:pt idx="18">
                  <c:v>497.54829471182404</c:v>
                </c:pt>
                <c:pt idx="19">
                  <c:v>488.38079025549604</c:v>
                </c:pt>
                <c:pt idx="20">
                  <c:v>478.77673796791436</c:v>
                </c:pt>
                <c:pt idx="21">
                  <c:v>417.09771712383508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306.4771770472895</c:v>
                </c:pt>
                <c:pt idx="2">
                  <c:v>447.66165657439444</c:v>
                </c:pt>
                <c:pt idx="3">
                  <c:v>504.27395833333333</c:v>
                </c:pt>
                <c:pt idx="4">
                  <c:v>528.31562500000007</c:v>
                </c:pt>
                <c:pt idx="5">
                  <c:v>547.5489583333333</c:v>
                </c:pt>
                <c:pt idx="6">
                  <c:v>561.97395833333337</c:v>
                </c:pt>
                <c:pt idx="7">
                  <c:v>571.59062499999993</c:v>
                </c:pt>
                <c:pt idx="8">
                  <c:v>576.39895833333333</c:v>
                </c:pt>
                <c:pt idx="9">
                  <c:v>573.50761734997036</c:v>
                </c:pt>
                <c:pt idx="10">
                  <c:v>565.21320855614977</c:v>
                </c:pt>
                <c:pt idx="11">
                  <c:v>555.17260843731435</c:v>
                </c:pt>
                <c:pt idx="12">
                  <c:v>543.385816993464</c:v>
                </c:pt>
                <c:pt idx="13">
                  <c:v>536.83759952465834</c:v>
                </c:pt>
                <c:pt idx="14">
                  <c:v>529.85283422459895</c:v>
                </c:pt>
                <c:pt idx="15">
                  <c:v>522.43152109328582</c:v>
                </c:pt>
                <c:pt idx="16">
                  <c:v>514.57366013071896</c:v>
                </c:pt>
                <c:pt idx="17">
                  <c:v>506.27925133689837</c:v>
                </c:pt>
                <c:pt idx="18">
                  <c:v>497.54829471182404</c:v>
                </c:pt>
                <c:pt idx="19">
                  <c:v>488.38079025549604</c:v>
                </c:pt>
                <c:pt idx="20">
                  <c:v>478.77673796791436</c:v>
                </c:pt>
                <c:pt idx="21">
                  <c:v>417.09771712383508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15.275721075864904</c:v>
                </c:pt>
                <c:pt idx="2">
                  <c:v>44.625538959039119</c:v>
                </c:pt>
                <c:pt idx="3">
                  <c:v>64.631552356020933</c:v>
                </c:pt>
                <c:pt idx="4">
                  <c:v>75.23657068062829</c:v>
                </c:pt>
                <c:pt idx="5">
                  <c:v>85.77311431064571</c:v>
                </c:pt>
                <c:pt idx="6">
                  <c:v>96.035759162303691</c:v>
                </c:pt>
                <c:pt idx="7">
                  <c:v>105.81908115183246</c:v>
                </c:pt>
                <c:pt idx="8">
                  <c:v>114.91765619546248</c:v>
                </c:pt>
                <c:pt idx="9">
                  <c:v>122.5084334443916</c:v>
                </c:pt>
                <c:pt idx="10">
                  <c:v>128.78575306996669</c:v>
                </c:pt>
                <c:pt idx="11">
                  <c:v>134.40409117351527</c:v>
                </c:pt>
                <c:pt idx="12">
                  <c:v>139.28884607329843</c:v>
                </c:pt>
                <c:pt idx="13">
                  <c:v>141.43281679623459</c:v>
                </c:pt>
                <c:pt idx="14">
                  <c:v>143.36541608757733</c:v>
                </c:pt>
                <c:pt idx="15">
                  <c:v>145.07731873710932</c:v>
                </c:pt>
                <c:pt idx="16">
                  <c:v>146.55919953461316</c:v>
                </c:pt>
                <c:pt idx="17">
                  <c:v>147.80173326987148</c:v>
                </c:pt>
                <c:pt idx="18">
                  <c:v>148.79559473266696</c:v>
                </c:pt>
                <c:pt idx="19">
                  <c:v>149.53145871278224</c:v>
                </c:pt>
                <c:pt idx="20" formatCode="0">
                  <c:v>149.99999999999997</c:v>
                </c:pt>
                <c:pt idx="21" formatCode="0">
                  <c:v>133.64597009412935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15.275721075864904</c:v>
                </c:pt>
                <c:pt idx="2">
                  <c:v>44.625538959039119</c:v>
                </c:pt>
                <c:pt idx="3">
                  <c:v>64.631552356020933</c:v>
                </c:pt>
                <c:pt idx="4">
                  <c:v>75.23657068062829</c:v>
                </c:pt>
                <c:pt idx="5">
                  <c:v>85.77311431064571</c:v>
                </c:pt>
                <c:pt idx="6">
                  <c:v>96.035759162303691</c:v>
                </c:pt>
                <c:pt idx="7">
                  <c:v>105.81908115183246</c:v>
                </c:pt>
                <c:pt idx="8">
                  <c:v>114.91765619546248</c:v>
                </c:pt>
                <c:pt idx="9">
                  <c:v>122.5084334443916</c:v>
                </c:pt>
                <c:pt idx="10">
                  <c:v>128.78575306996669</c:v>
                </c:pt>
                <c:pt idx="11">
                  <c:v>134.40409117351527</c:v>
                </c:pt>
                <c:pt idx="12">
                  <c:v>139.28884607329843</c:v>
                </c:pt>
                <c:pt idx="13">
                  <c:v>141.43281679623459</c:v>
                </c:pt>
                <c:pt idx="14">
                  <c:v>143.36541608757733</c:v>
                </c:pt>
                <c:pt idx="15">
                  <c:v>145.07731873710932</c:v>
                </c:pt>
                <c:pt idx="16">
                  <c:v>146.55919953461316</c:v>
                </c:pt>
                <c:pt idx="17">
                  <c:v>147.80173326987148</c:v>
                </c:pt>
                <c:pt idx="18">
                  <c:v>148.79559473266696</c:v>
                </c:pt>
                <c:pt idx="19">
                  <c:v>149.53145871278224</c:v>
                </c:pt>
                <c:pt idx="20" formatCode="0">
                  <c:v>149.99999999999997</c:v>
                </c:pt>
                <c:pt idx="21" formatCode="0">
                  <c:v>133.64597009412935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334.71710758377429</c:v>
                </c:pt>
                <c:pt idx="1">
                  <c:v>288.7541446208113</c:v>
                </c:pt>
                <c:pt idx="2">
                  <c:v>257.48253968253971</c:v>
                </c:pt>
                <c:pt idx="3">
                  <c:v>246.20917107583776</c:v>
                </c:pt>
                <c:pt idx="4">
                  <c:v>242.37142857142857</c:v>
                </c:pt>
                <c:pt idx="5">
                  <c:v>239.73298059964728</c:v>
                </c:pt>
                <c:pt idx="6">
                  <c:v>238.29382716049383</c:v>
                </c:pt>
                <c:pt idx="7">
                  <c:v>238.02751763209619</c:v>
                </c:pt>
                <c:pt idx="8">
                  <c:v>238.51671998047303</c:v>
                </c:pt>
                <c:pt idx="9">
                  <c:v>239.61742526432087</c:v>
                </c:pt>
                <c:pt idx="10">
                  <c:v>241.32963348363973</c:v>
                </c:pt>
                <c:pt idx="11">
                  <c:v>243.65334463842962</c:v>
                </c:pt>
                <c:pt idx="12">
                  <c:v>246.58855872869054</c:v>
                </c:pt>
                <c:pt idx="13">
                  <c:v>248.28547937462264</c:v>
                </c:pt>
                <c:pt idx="14">
                  <c:v>250.13527575442248</c:v>
                </c:pt>
                <c:pt idx="15">
                  <c:v>252.13794786809009</c:v>
                </c:pt>
                <c:pt idx="16">
                  <c:v>254.29349571562545</c:v>
                </c:pt>
                <c:pt idx="17">
                  <c:v>256.60191929702859</c:v>
                </c:pt>
                <c:pt idx="18">
                  <c:v>259.06321861229947</c:v>
                </c:pt>
                <c:pt idx="19">
                  <c:v>261.67739366143809</c:v>
                </c:pt>
                <c:pt idx="20">
                  <c:v>264.44444444444446</c:v>
                </c:pt>
                <c:pt idx="21">
                  <c:v>310.44846261500368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95" dataDxfId="94">
  <tableColumns count="25">
    <tableColumn id="1" name="rpm" dataDxfId="93"/>
    <tableColumn id="7" name="rawData" dataDxfId="92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91"/>
    <tableColumn id="12" name="rawDataEco" dataDxfId="90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9"/>
    <tableColumn id="4" name="motor" dataDxfId="88">
      <calculatedColumnFormula>Table36[Factor]*IF(Table15[[#This Row],[manualData]]&gt;0,Table15[[#This Row],[manualData]],Table15[[#This Row],[rawData]])</calculatedColumnFormula>
    </tableColumn>
    <tableColumn id="14" name="motorEco" dataDxfId="87">
      <calculatedColumnFormula>Table36[Factor]*IF(Table15[[#This Row],[manDataEco]]&gt;0,Table15[[#This Row],[manDataEco]],Table15[[#This Row],[rawDataEco]])</calculatedColumnFormula>
    </tableColumn>
    <tableColumn id="3" name="ps" dataDxfId="86">
      <calculatedColumnFormula>1.36*Table15[[#This Row],[rpm]]*Table15[[#This Row],[motor]]/9550</calculatedColumnFormula>
    </tableColumn>
    <tableColumn id="13" name="psEco" dataDxfId="85">
      <calculatedColumnFormula>1.36*Table15[[#This Row],[rpm]]*Table15[[#This Row],[motorEco]]/9550</calculatedColumnFormula>
    </tableColumn>
    <tableColumn id="10" name="fuelUsageRatio" dataDxfId="8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name="xml" dataDxfId="8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82">
      <calculatedColumnFormula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calculatedColumnFormula>
    </tableColumn>
    <tableColumn id="15" name="t1" dataDxfId="81">
      <calculatedColumnFormula>(1-(1-Table15[[#This Row],[rpm]]/Table36[idleRpm])^2)*Table7[idleT]</calculatedColumnFormula>
    </tableColumn>
    <tableColumn id="18" name="t2" dataDxfId="80">
      <calculatedColumnFormula>MAX(0,(1-Table7[f1]*(Table36[maxTRpm1]-Table15[[#This Row],[rpm]])^2)*Table36[maxT])</calculatedColumnFormula>
    </tableColumn>
    <tableColumn id="19" name="t3" dataDxfId="7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8">
      <calculatedColumnFormula>MAX(0,(Table36[maxPS]-Table7[f4]*(Table15[[#This Row],[rpm]]-Table36[maxPRpm])^2)/1.36*9550/MAX(1,Table15[[#This Row],[rpm]]))</calculatedColumnFormula>
    </tableColumn>
    <tableColumn id="17" name="t5" dataDxfId="7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76">
      <calculatedColumnFormula>(1-(1-Table15[[#This Row],[rpm]]/Table36[idleRpm])^2)*Table7[idleTEco]</calculatedColumnFormula>
    </tableColumn>
    <tableColumn id="22" name="t2E" dataDxfId="75">
      <calculatedColumnFormula>MAX(0,(1-Table7[f1]*(Table36[maxTRpm1]-Table15[[#This Row],[rpm]])^2)*Table36[maxTEco])</calculatedColumnFormula>
    </tableColumn>
    <tableColumn id="23" name="t3E" dataDxfId="7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73">
      <calculatedColumnFormula>MAX(0,(Table36[maxPSEco]-Table7[f4Eco]*(Table15[[#This Row],[rpm]]-Table36[maxPRpm])^2)/1.36*9550/MAX(1,Table15[[#This Row],[rpm]]))</calculatedColumnFormula>
    </tableColumn>
    <tableColumn id="25" name="t5E" dataDxfId="72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71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70"/>
    <tableColumn id="20" name="deltaEco" dataDxfId="69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AC2" totalsRowShown="0" headerRowDxfId="68">
  <autoFilter ref="A1:AC2">
    <filterColumn colId="0" hiddenButton="1"/>
    <filterColumn colId="1" hiddenButton="1"/>
    <filterColumn colId="3" hiddenButton="1"/>
    <filterColumn colId="4" hiddenButton="1"/>
    <filterColumn colId="5" hiddenButton="1"/>
    <filterColumn colId="7" hiddenButton="1"/>
    <filterColumn colId="8" hiddenButton="1"/>
    <filterColumn colId="9" hiddenButton="1"/>
    <filterColumn colId="10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9">
    <tableColumn id="10" name="maxPRpm" dataDxfId="67"/>
    <tableColumn id="14" name="maxPS" dataDxfId="66"/>
    <tableColumn id="27" name="maxPSEcoInput" dataDxfId="65"/>
    <tableColumn id="19" name="maxPSEco" dataDxfId="64">
      <calculatedColumnFormula>IF(Table36[maxPSEcoInput]&gt;0,Table36[maxPSEcoInput],Table36[maxPS]*Table36[maxPsEcoRate])</calculatedColumnFormula>
    </tableColumn>
    <tableColumn id="2" name="ratedRpm" dataDxfId="63"/>
    <tableColumn id="3" name="PS" dataDxfId="62"/>
    <tableColumn id="28" name="PSEcoInput" dataDxfId="61"/>
    <tableColumn id="20" name="PSEco" dataDxfId="60">
      <calculatedColumnFormula>IF(Table36[PSEcoInput]&gt;0,Table36[PSEcoInput],Table36[PS]*Table36[PSEcoRate])</calculatedColumnFormula>
    </tableColumn>
    <tableColumn id="12" name="maxTRpm1" dataDxfId="59"/>
    <tableColumn id="4" name="maxTRpm" dataDxfId="58"/>
    <tableColumn id="5" name="maxT" dataDxfId="57"/>
    <tableColumn id="29" name="maxTEcoInput" dataDxfId="56"/>
    <tableColumn id="21" name="maxTEco" dataDxfId="55">
      <calculatedColumnFormula>IF(Table36[maxTEcoInput]&gt;0,Table36[maxTEcoInput],Table36[maxT]*Table36[NmEcoRate])</calculatedColumnFormula>
    </tableColumn>
    <tableColumn id="6" name="idleRpm" dataDxfId="54"/>
    <tableColumn id="7" name="idleRatio" dataDxfId="53" dataCellStyle="Percent"/>
    <tableColumn id="11" name="fadeOut" dataDxfId="52"/>
    <tableColumn id="15" name="linearDown" dataDxfId="51"/>
    <tableColumn id="25" name="fadeOutExp" dataDxfId="50">
      <calculatedColumnFormula>IF(Table36[fadeOut]&lt;100,3,IF(Table36[fadeOut]&lt;150,2.2,IF(Table36[fadeOut]&lt;200,2,1.7)))</calculatedColumnFormula>
    </tableColumn>
    <tableColumn id="22" name="Efficiency" dataDxfId="49" dataCellStyle="Percent"/>
    <tableColumn id="16" name="Factor" dataDxfId="48"/>
    <tableColumn id="13" name="fuelMinRate" dataDxfId="47"/>
    <tableColumn id="18" name="fuelRatedRate" dataDxfId="46">
      <calculatedColumnFormula>Table36[fuelMinRate]/0.9</calculatedColumnFormula>
    </tableColumn>
    <tableColumn id="9" name="fuelMinRpm" dataDxfId="45"/>
    <tableColumn id="17" name="fuelIdleRate" dataDxfId="44">
      <calculatedColumnFormula>0.94*Table36[fuelRatedRate]</calculatedColumnFormula>
    </tableColumn>
    <tableColumn id="1" name="normRpm" dataDxfId="43">
      <calculatedColumnFormula>ROUND(Table36[ratedRpm]+0.49*Table36[fadeOut],-2)</calculatedColumnFormula>
    </tableColumn>
    <tableColumn id="8" name="PSEcoRate" dataDxfId="42" dataCellStyle="Percent"/>
    <tableColumn id="23" name="NmEcoRate" dataDxfId="41" dataCellStyle="Percent"/>
    <tableColumn id="24" name="maxPsEcoRate" dataDxfId="40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2"/>
  <sheetViews>
    <sheetView tabSelected="1" workbookViewId="0">
      <selection activeCell="K7" sqref="K7:K29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9" s="4" customFormat="1" ht="45.75" customHeight="1" thickBot="1" x14ac:dyDescent="0.3">
      <c r="A1" s="4" t="s">
        <v>18</v>
      </c>
      <c r="B1" s="4" t="s">
        <v>23</v>
      </c>
      <c r="C1" s="4" t="s">
        <v>81</v>
      </c>
      <c r="D1" s="4" t="s">
        <v>35</v>
      </c>
      <c r="E1" s="4" t="s">
        <v>8</v>
      </c>
      <c r="F1" s="4" t="s">
        <v>10</v>
      </c>
      <c r="G1" s="4" t="s">
        <v>82</v>
      </c>
      <c r="H1" s="4" t="s">
        <v>36</v>
      </c>
      <c r="I1" s="4" t="s">
        <v>22</v>
      </c>
      <c r="J1" s="4" t="s">
        <v>12</v>
      </c>
      <c r="K1" s="5" t="s">
        <v>13</v>
      </c>
      <c r="L1" s="5" t="s">
        <v>83</v>
      </c>
      <c r="M1" s="4" t="s">
        <v>47</v>
      </c>
      <c r="N1" s="4" t="s">
        <v>14</v>
      </c>
      <c r="O1" s="4" t="s">
        <v>15</v>
      </c>
      <c r="P1" s="4" t="s">
        <v>21</v>
      </c>
      <c r="Q1" s="4" t="s">
        <v>25</v>
      </c>
      <c r="R1" s="4" t="s">
        <v>68</v>
      </c>
      <c r="S1" s="4" t="s">
        <v>49</v>
      </c>
      <c r="T1" s="4" t="s">
        <v>7</v>
      </c>
      <c r="U1" s="4" t="s">
        <v>31</v>
      </c>
      <c r="V1" s="4" t="s">
        <v>33</v>
      </c>
      <c r="W1" s="4" t="s">
        <v>30</v>
      </c>
      <c r="X1" s="4" t="s">
        <v>32</v>
      </c>
      <c r="Y1" s="4" t="s">
        <v>60</v>
      </c>
      <c r="Z1" s="4" t="s">
        <v>63</v>
      </c>
      <c r="AA1" s="4" t="s">
        <v>64</v>
      </c>
      <c r="AB1" s="4" t="s">
        <v>67</v>
      </c>
      <c r="AC1" s="4" t="s">
        <v>74</v>
      </c>
    </row>
    <row r="2" spans="1:29" ht="15.75" thickBot="1" x14ac:dyDescent="0.3">
      <c r="A2" s="42">
        <v>2200</v>
      </c>
      <c r="B2" s="43">
        <v>150</v>
      </c>
      <c r="C2" s="44"/>
      <c r="D2" s="39">
        <f>IF(Table36[maxPSEcoInput]&gt;0,Table36[maxPSEcoInput],Table36[maxPS]*Table36[maxPsEcoRate])</f>
        <v>150</v>
      </c>
      <c r="E2" s="42">
        <v>2200</v>
      </c>
      <c r="F2" s="43">
        <v>150</v>
      </c>
      <c r="G2" s="44"/>
      <c r="H2" s="11">
        <f>IF(Table36[PSEcoInput]&gt;0,Table36[PSEcoInput],Table36[PS]*Table36[PSEcoRate])</f>
        <v>150</v>
      </c>
      <c r="I2" s="42">
        <v>1450</v>
      </c>
      <c r="J2" s="43">
        <v>1450</v>
      </c>
      <c r="K2" s="43">
        <v>577</v>
      </c>
      <c r="L2" s="44"/>
      <c r="M2" s="39">
        <f>IF(Table36[maxTEcoInput]&gt;0,Table36[maxTEcoInput],Table36[maxT]*Table36[NmEcoRate])</f>
        <v>577</v>
      </c>
      <c r="N2" s="42">
        <v>850</v>
      </c>
      <c r="O2" s="45">
        <v>0.85</v>
      </c>
      <c r="P2" s="44">
        <v>99</v>
      </c>
      <c r="Q2" s="46">
        <v>0.5</v>
      </c>
      <c r="R2" s="41">
        <f>IF(Table36[fadeOut]&lt;100,3,IF(Table36[fadeOut]&lt;150,2.2,IF(Table36[fadeOut]&lt;200,2,1.7)))</f>
        <v>3</v>
      </c>
      <c r="S2" s="41">
        <v>0.98</v>
      </c>
      <c r="T2" s="40">
        <v>1</v>
      </c>
      <c r="U2" s="46">
        <v>238</v>
      </c>
      <c r="V2" s="9">
        <f>Table36[fuelMinRate]/0.9</f>
        <v>264.44444444444446</v>
      </c>
      <c r="W2" s="10">
        <v>1270</v>
      </c>
      <c r="X2" s="11">
        <f>0.94*Table36[fuelRatedRate]</f>
        <v>248.57777777777778</v>
      </c>
      <c r="Y2" s="9">
        <f>ROUND(Table36[ratedRpm]+0.49*Table36[fadeOut],-2)</f>
        <v>2200</v>
      </c>
      <c r="Z2" s="47">
        <v>1</v>
      </c>
      <c r="AA2" s="48">
        <v>1</v>
      </c>
      <c r="AB2" s="37">
        <f>Table36[PSEcoRate]* (Table36[maxPRpm]-Table36[maxTRpm])/(Table36[ratedRpm]-Table36[maxTRpm]) + Table36[NmEcoRate]* (1- (Table36[maxPRpm]-Table36[maxTRpm])/(Table36[ratedRpm]-Table36[maxTRpm]))</f>
        <v>1</v>
      </c>
      <c r="AC2" s="38">
        <v>0.02</v>
      </c>
    </row>
    <row r="3" spans="1:29" x14ac:dyDescent="0.25">
      <c r="A3" s="8" t="s">
        <v>16</v>
      </c>
      <c r="B3" s="8" t="s">
        <v>17</v>
      </c>
      <c r="C3" s="8" t="s">
        <v>24</v>
      </c>
      <c r="D3" s="8" t="s">
        <v>26</v>
      </c>
      <c r="E3" s="8" t="s">
        <v>19</v>
      </c>
      <c r="F3" s="8" t="s">
        <v>20</v>
      </c>
      <c r="G3" s="15" t="s">
        <v>27</v>
      </c>
      <c r="H3" s="16" t="s">
        <v>66</v>
      </c>
      <c r="I3" s="16" t="s">
        <v>61</v>
      </c>
      <c r="J3" s="16" t="s">
        <v>62</v>
      </c>
      <c r="K3" s="15" t="s">
        <v>69</v>
      </c>
      <c r="L3" s="16" t="s">
        <v>70</v>
      </c>
      <c r="M3" s="17" t="s">
        <v>71</v>
      </c>
      <c r="N3" s="8" t="s">
        <v>65</v>
      </c>
      <c r="O3" s="8" t="s">
        <v>37</v>
      </c>
      <c r="P3" s="8" t="s">
        <v>38</v>
      </c>
      <c r="Q3" s="8" t="s">
        <v>41</v>
      </c>
      <c r="R3" s="8" t="s">
        <v>39</v>
      </c>
      <c r="S3" s="8" t="s">
        <v>40</v>
      </c>
      <c r="T3" s="8" t="s">
        <v>42</v>
      </c>
      <c r="U3" s="8" t="s">
        <v>48</v>
      </c>
      <c r="V3" s="8" t="s">
        <v>28</v>
      </c>
      <c r="W3" s="25" t="s">
        <v>76</v>
      </c>
    </row>
    <row r="4" spans="1:29" ht="15.75" thickBot="1" x14ac:dyDescent="0.3">
      <c r="A4" s="8">
        <f>(1-Table36[idleRatio])/((Table36[maxTRpm1]-Table36[idleRpm])^2)</f>
        <v>4.1666666666666672E-7</v>
      </c>
      <c r="B4" s="8">
        <f>(Table36[maxT]-Table7[Nm])/Table36[maxT]/(Table36[maxPRpm]-Table36[maxTRpm])</f>
        <v>2.2697460897073518E-4</v>
      </c>
      <c r="C4" s="8">
        <f>(Table36[maxT]-Table7[Nm])/Table36[maxT]/(Table36[maxPRpm]-Table36[maxTRpm])^2</f>
        <v>3.0263281196098025E-7</v>
      </c>
      <c r="D4" s="8">
        <f>(Table36[maxPS]-Table36[PS])/MAX(1,Table36[ratedRpm]-Table36[maxPRpm])^2</f>
        <v>0</v>
      </c>
      <c r="E4" s="8">
        <f>Table36[maxPS]/1.36*9550/Table36[maxPRpm]</f>
        <v>478.77673796791436</v>
      </c>
      <c r="F4" s="8">
        <f>Table36[PS]/1.36*9550/Table36[ratedRpm]</f>
        <v>478.77673796791436</v>
      </c>
      <c r="G4" s="14">
        <f>Table7[Nm1000]/Table7[Nm2]</f>
        <v>1.1034697033158816</v>
      </c>
      <c r="H4" s="24">
        <f>Table36[maxTEco]/Table7[Nm2Eco]-1</f>
        <v>0.20515462478185009</v>
      </c>
      <c r="I4" s="24">
        <f>Table36[maxT]/Table7[Nm2]-1</f>
        <v>0.20515462478185009</v>
      </c>
      <c r="J4" s="24">
        <f>1-Table36[maxTRpm]/Table36[ratedRpm]</f>
        <v>0.34090909090909094</v>
      </c>
      <c r="K4" s="20">
        <f>Table36[maxPS]/1.36</f>
        <v>110.29411764705881</v>
      </c>
      <c r="L4" s="21">
        <f>Table36[PS]/1.36</f>
        <v>110.29411764705881</v>
      </c>
      <c r="M4" s="22">
        <f>Table36[fuelRatedRate]*1.1</f>
        <v>290.88888888888891</v>
      </c>
      <c r="N4" s="8">
        <f>(1-Table7[f1]*(Table36[maxTRpm1]-1000)^2)*Table36[maxTEco]</f>
        <v>528.31562500000007</v>
      </c>
      <c r="O4" s="8">
        <f>Table36[maxPSEco]/1.36*9550/Table36[maxPRpm]</f>
        <v>478.77673796791436</v>
      </c>
      <c r="P4" s="8">
        <f>Table36[PSEco]/1.36*9550/Table36[ratedRpm]</f>
        <v>478.77673796791436</v>
      </c>
      <c r="Q4" s="8">
        <f>(Table36[maxTEco]-Table7[NmEco])/Table36[maxTEco]/(Table36[maxPRpm]-Table36[maxTRpm])</f>
        <v>2.2697460897073518E-4</v>
      </c>
      <c r="R4" s="8">
        <f>(Table36[maxTEco]-Table7[NmEco])/Table36[maxTEco]/(Table36[maxPRpm]-Table36[maxTRpm])^2</f>
        <v>3.0263281196098025E-7</v>
      </c>
      <c r="S4" s="8">
        <f>(Table36[maxPSEco]-Table36[PSEco])/MAX(1,Table36[ratedRpm]-Table36[maxPRpm])^2</f>
        <v>0</v>
      </c>
      <c r="T4" s="8">
        <f>(1-Table7[f1]*(Table36[maxTRpm1]-Table36[idleRpm])^2)*Table36[maxT]</f>
        <v>490.45</v>
      </c>
      <c r="U4" s="8">
        <f>(1-Table7[f1]*(Table36[maxTRpm1]-Table36[idleRpm])^2)*Table36[maxTEco]</f>
        <v>490.45</v>
      </c>
      <c r="V4" s="8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&lt;!-- 2200: 150(150) | 2200: 150(150) | 1450..1450: 577(577) | 85 | 0.5 | 99 | 3 | 2200 | 1270: 238 --&gt;</v>
      </c>
      <c r="W4" s="25">
        <f>MAX(Table15[deltaEco])</f>
        <v>0</v>
      </c>
    </row>
    <row r="6" spans="1:29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9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2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2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18">
        <f>1.36*Table15[[#This Row],[rpm]]*Table15[[#This Row],[motor]]/9550</f>
        <v>0</v>
      </c>
      <c r="I7" s="18">
        <f>1.36*Table15[[#This Row],[rpm]]*Table15[[#This Row],[motorEco]]/9550</f>
        <v>0</v>
      </c>
      <c r="J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334.71710758377429</v>
      </c>
      <c r="K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&lt;!-- 2200: 150(150) | 2200: 150(150) | 1450..1450: 577(577) | 85 | 0.5 | 99 | 3 | 2200 | 1270: 238 --&gt;</v>
      </c>
      <c r="L7" s="7" t="str">
        <f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&lt;!-- 2200: 150(150) | 2200: 150(150) | 1450..1450: 577(577) | 85 | 0.5 | 99 | 3 | 2200 | 1270: 238 --&gt;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71.52395833333324</v>
      </c>
      <c r="O7" s="3">
        <f>MAX(0,(Table36[linearDown]*(1-Table7[f2]*(Table15[[#This Row],[rpm]]-Table36[maxTRpm]))+(1-Table36[linearDown])*(1-Table7[f3]*(Table15[[#This Row],[rpm]]-Table36[maxTRpm])^2))*Table36[maxT])</f>
        <v>488.38079025549604</v>
      </c>
      <c r="P7" s="3">
        <f>MAX(0,(Table36[maxPS]-Table7[f4]*(Table15[[#This Row],[rpm]]-Table36[maxPRpm])^2)/1.36*9550/MAX(1,Table15[[#This Row],[rpm]]))</f>
        <v>1053308.8235294116</v>
      </c>
      <c r="Q7" s="3">
        <f>MAX(0,Table7[Nm2]*MIN(Table36[ratedRpm]/MAX(1,Table15[[#This Row],[rpm]]),1-(MAX(0,Table15[[#This Row],[rpm]]-Table36[ratedRpm])/Table36[fadeOut])^Table36[fadeOutExp]))</f>
        <v>478.77673796791436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71.52395833333324</v>
      </c>
      <c r="T7" s="3">
        <f>MAX(0,(Table36[linearDown]*(1-Table7[f2Eco]*(Table15[[#This Row],[rpm]]-Table36[maxTRpm]))+(1-Table36[linearDown])*(1-Table7[f3Eco]*(Table15[[#This Row],[rpm]]-Table36[maxTRpm])^2))*Table36[maxTEco])</f>
        <v>488.38079025549604</v>
      </c>
      <c r="U7" s="3">
        <f>MAX(0,(Table36[maxPSEco]-Table7[f4Eco]*(Table15[[#This Row],[rpm]]-Table36[maxPRpm])^2)/1.36*9550/MAX(1,Table15[[#This Row],[rpm]]))</f>
        <v>1053308.8235294116</v>
      </c>
      <c r="V7" s="3">
        <f>MAX(0,Table7[Nm2Eco]*MIN(Table36[ratedRpm]/MAX(1,Table15[[#This Row],[rpm]]),1-(MAX(0,Table15[[#This Row],[rpm]]-Table36[ratedRpm])/Table36[fadeOut])^Table36[fadeOutExp]))</f>
        <v>478.77673796791436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9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306.4771770472895</v>
      </c>
      <c r="C8" s="13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306.4771770472895</v>
      </c>
      <c r="E8" s="13"/>
      <c r="F8" s="3">
        <f>Table36[Factor]*IF(Table15[[#This Row],[manualData]]&gt;0,Table15[[#This Row],[manualData]],Table15[[#This Row],[rawData]])</f>
        <v>306.4771770472895</v>
      </c>
      <c r="G8" s="3">
        <f>Table36[Factor]*IF(Table15[[#This Row],[manDataEco]]&gt;0,Table15[[#This Row],[manDataEco]],Table15[[#This Row],[rawDataEco]])</f>
        <v>306.4771770472895</v>
      </c>
      <c r="H8" s="18">
        <f>1.36*Table15[[#This Row],[rpm]]*Table15[[#This Row],[motor]]/9550</f>
        <v>15.275721075864904</v>
      </c>
      <c r="I8" s="18">
        <f>1.36*Table15[[#This Row],[rpm]]*Table15[[#This Row],[motorEco]]/9550</f>
        <v>15.275721075864904</v>
      </c>
      <c r="J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288.7541446208113</v>
      </c>
      <c r="K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motorTorque="306" fuelUsageRatio="288.8"/&gt;</v>
      </c>
      <c r="L8" s="7" t="str">
        <f>IF(Table15[[#This Row],[rpm]]&lt;1,Table7[xmlComment],IF(A7&gt;Table36[normRpm],"",IF(Table15[[#This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normRpm="0.159" torque="0.532"/&gt;</v>
      </c>
      <c r="M8" s="3">
        <f>(1-(1-Table15[[#This Row],[rpm]]/Table36[idleRpm])^2)*Table7[idleT]</f>
        <v>320.74411764705883</v>
      </c>
      <c r="N8" s="3">
        <f>MAX(0,(1-Table7[f1]*(Table36[maxTRpm1]-Table15[[#This Row],[rpm]])^2)*Table36[maxT])</f>
        <v>286.0958333333333</v>
      </c>
      <c r="O8" s="3">
        <f>MAX(0,(Table36[linearDown]*(1-Table7[f2]*(Table15[[#This Row],[rpm]]-Table36[maxTRpm]))+(1-Table36[linearDown])*(1-Table7[f3]*(Table15[[#This Row],[rpm]]-Table36[maxTRpm])^2))*Table36[maxT])</f>
        <v>543.385816993464</v>
      </c>
      <c r="P8" s="3">
        <f>MAX(0,(Table36[maxPS]-Table7[f4]*(Table15[[#This Row],[rpm]]-Table36[maxPRpm])^2)/1.36*9550/MAX(1,Table15[[#This Row],[rpm]]))</f>
        <v>3009.4537815126046</v>
      </c>
      <c r="Q8" s="3">
        <f>MAX(0,Table7[Nm2]*MIN(Table36[ratedRpm]/MAX(1,Table15[[#This Row],[rpm]]),1-(MAX(0,Table15[[#This Row],[rpm]]-Table36[ratedRpm])/Table36[fadeOut])^Table36[fadeOutExp]))</f>
        <v>478.77673796791436</v>
      </c>
      <c r="R8" s="3">
        <f>(1-(1-Table15[[#This Row],[rpm]]/Table36[idleRpm])^2)*Table7[idleTEco]</f>
        <v>320.74411764705883</v>
      </c>
      <c r="S8" s="3">
        <f>MAX(0,(1-Table7[f1]*(Table36[maxTRpm1]-Table15[[#This Row],[rpm]])^2)*Table36[maxTEco])</f>
        <v>286.0958333333333</v>
      </c>
      <c r="T8" s="3">
        <f>MAX(0,(Table36[linearDown]*(1-Table7[f2Eco]*(Table15[[#This Row],[rpm]]-Table36[maxTRpm]))+(1-Table36[linearDown])*(1-Table7[f3Eco]*(Table15[[#This Row],[rpm]]-Table36[maxTRpm])^2))*Table36[maxTEco])</f>
        <v>543.385816993464</v>
      </c>
      <c r="U8" s="3">
        <f>MAX(0,(Table36[maxPSEco]-Table7[f4Eco]*(Table15[[#This Row],[rpm]]-Table36[maxPRpm])^2)/1.36*9550/MAX(1,Table15[[#This Row],[rpm]]))</f>
        <v>3009.4537815126046</v>
      </c>
      <c r="V8" s="3">
        <f>MAX(0,Table7[Nm2Eco]*MIN(Table36[ratedRpm]/MAX(1,Table15[[#This Row],[rpm]]),1-(MAX(0,Table15[[#This Row],[rpm]]-Table36[ratedRpm])/Table36[fadeOut])^Table36[fadeOutExp]))</f>
        <v>478.77673796791436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2958.8402406417108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2958.8402406417108</v>
      </c>
      <c r="Y8" s="3">
        <f>ABS(Table15[[#This Row],[motor]]-Table15[[#This Row],[motorEco]])</f>
        <v>0</v>
      </c>
    </row>
    <row r="9" spans="1:29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447.66165657439444</v>
      </c>
      <c r="C9" s="13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447.66165657439444</v>
      </c>
      <c r="E9" s="13"/>
      <c r="F9" s="3">
        <f>Table36[Factor]*IF(Table15[[#This Row],[manualData]]&gt;0,Table15[[#This Row],[manualData]],Table15[[#This Row],[rawData]])</f>
        <v>447.66165657439444</v>
      </c>
      <c r="G9" s="3">
        <f>Table36[Factor]*IF(Table15[[#This Row],[manDataEco]]&gt;0,Table15[[#This Row],[manDataEco]],Table15[[#This Row],[rawDataEco]])</f>
        <v>447.66165657439444</v>
      </c>
      <c r="H9" s="18">
        <f>1.36*Table15[[#This Row],[rpm]]*Table15[[#This Row],[motor]]/9550</f>
        <v>44.625538959039119</v>
      </c>
      <c r="I9" s="18">
        <f>1.36*Table15[[#This Row],[rpm]]*Table15[[#This Row],[motorEco]]/9550</f>
        <v>44.625538959039119</v>
      </c>
      <c r="J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257.48253968253971</v>
      </c>
      <c r="K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motorTorque="448" fuelUsageRatio="257.5"/&gt;</v>
      </c>
      <c r="L9" s="7" t="str">
        <f>IF(Table15[[#This Row],[rpm]]&lt;1,Table7[xmlComment],IF(A8&gt;Table36[normRpm],"",IF(Table15[[#This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normRpm="0.318" torque="0.777"/&gt;</v>
      </c>
      <c r="M9" s="3">
        <f>(1-(1-Table15[[#This Row],[rpm]]/Table36[idleRpm])^2)*Table7[idleT]</f>
        <v>475.17647058823525</v>
      </c>
      <c r="N9" s="3">
        <f>MAX(0,(1-Table7[f1]*(Table36[maxTRpm1]-Table15[[#This Row],[rpm]])^2)*Table36[maxT])</f>
        <v>441.765625</v>
      </c>
      <c r="O9" s="3">
        <f>MAX(0,(Table36[linearDown]*(1-Table7[f2]*(Table15[[#This Row],[rpm]]-Table36[maxTRpm]))+(1-Table36[linearDown])*(1-Table7[f3]*(Table15[[#This Row],[rpm]]-Table36[maxTRpm])^2))*Table36[maxT])</f>
        <v>577</v>
      </c>
      <c r="P9" s="3">
        <f>MAX(0,(Table36[maxPS]-Table7[f4]*(Table15[[#This Row],[rpm]]-Table36[maxPRpm])^2)/1.36*9550/MAX(1,Table15[[#This Row],[rpm]]))</f>
        <v>1504.7268907563023</v>
      </c>
      <c r="Q9" s="3">
        <f>MAX(0,Table7[Nm2]*MIN(Table36[ratedRpm]/MAX(1,Table15[[#This Row],[rpm]]),1-(MAX(0,Table15[[#This Row],[rpm]]-Table36[ratedRpm])/Table36[fadeOut])^Table36[fadeOutExp]))</f>
        <v>478.77673796791436</v>
      </c>
      <c r="R9" s="3">
        <f>(1-(1-Table15[[#This Row],[rpm]]/Table36[idleRpm])^2)*Table7[idleTEco]</f>
        <v>475.17647058823525</v>
      </c>
      <c r="S9" s="3">
        <f>MAX(0,(1-Table7[f1]*(Table36[maxTRpm1]-Table15[[#This Row],[rpm]])^2)*Table36[maxTEco])</f>
        <v>441.765625</v>
      </c>
      <c r="T9" s="3">
        <f>MAX(0,(Table36[linearDown]*(1-Table7[f2Eco]*(Table15[[#This Row],[rpm]]-Table36[maxTRpm]))+(1-Table36[linearDown])*(1-Table7[f3Eco]*(Table15[[#This Row],[rpm]]-Table36[maxTRpm])^2))*Table36[maxTEco])</f>
        <v>577</v>
      </c>
      <c r="U9" s="3">
        <f>MAX(0,(Table36[maxPSEco]-Table7[f4Eco]*(Table15[[#This Row],[rpm]]-Table36[maxPRpm])^2)/1.36*9550/MAX(1,Table15[[#This Row],[rpm]]))</f>
        <v>1504.7268907563023</v>
      </c>
      <c r="V9" s="3">
        <f>MAX(0,Table7[Nm2Eco]*MIN(Table36[ratedRpm]/MAX(1,Table15[[#This Row],[rpm]]),1-(MAX(0,Table15[[#This Row],[rpm]]-Table36[ratedRpm])/Table36[fadeOut])^Table36[fadeOutExp]))</f>
        <v>478.77673796791436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1484.2078877005345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1484.2078877005345</v>
      </c>
      <c r="Y9" s="3">
        <f>ABS(Table15[[#This Row],[motor]]-Table15[[#This Row],[motorEco]])</f>
        <v>0</v>
      </c>
    </row>
    <row r="10" spans="1:29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504.27395833333333</v>
      </c>
      <c r="C10" s="13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504.27395833333333</v>
      </c>
      <c r="E10" s="13"/>
      <c r="F10" s="3">
        <f>Table36[Factor]*IF(Table15[[#This Row],[manualData]]&gt;0,Table15[[#This Row],[manualData]],Table15[[#This Row],[rawData]])</f>
        <v>504.27395833333333</v>
      </c>
      <c r="G10" s="3">
        <f>Table36[Factor]*IF(Table15[[#This Row],[manDataEco]]&gt;0,Table15[[#This Row],[manDataEco]],Table15[[#This Row],[rawDataEco]])</f>
        <v>504.27395833333333</v>
      </c>
      <c r="H10" s="18">
        <f>1.36*Table15[[#This Row],[rpm]]*Table15[[#This Row],[motor]]/9550</f>
        <v>64.631552356020933</v>
      </c>
      <c r="I10" s="18">
        <f>1.36*Table15[[#This Row],[rpm]]*Table15[[#This Row],[motorEco]]/9550</f>
        <v>64.631552356020933</v>
      </c>
      <c r="J1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246.20917107583776</v>
      </c>
      <c r="K1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motorTorque="504" fuelUsageRatio="246.2"/&gt;</v>
      </c>
      <c r="L10" s="7" t="str">
        <f>IF(Table15[[#This Row],[rpm]]&lt;1,Table7[xmlComment],IF(A9&gt;Table36[normRpm],"",IF(Table15[[#This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normRpm="0.409" torque="0.875"/&gt;</v>
      </c>
      <c r="M10" s="3">
        <f>(1-(1-Table15[[#This Row],[rpm]]/Table36[idleRpm])^2)*Table7[idleT]</f>
        <v>488.75294117647053</v>
      </c>
      <c r="N10" s="3">
        <f>MAX(0,(1-Table7[f1]*(Table36[maxTRpm1]-Table15[[#This Row],[rpm]])^2)*Table36[maxT])</f>
        <v>504.27395833333333</v>
      </c>
      <c r="O10" s="3">
        <f>MAX(0,(Table36[linearDown]*(1-Table7[f2]*(Table15[[#This Row],[rpm]]-Table36[maxTRpm]))+(1-Table36[linearDown])*(1-Table7[f3]*(Table15[[#This Row],[rpm]]-Table36[maxTRpm])^2))*Table36[maxT])</f>
        <v>586.60405228758179</v>
      </c>
      <c r="P10" s="3">
        <f>MAX(0,(Table36[maxPS]-Table7[f4]*(Table15[[#This Row],[rpm]]-Table36[maxPRpm])^2)/1.36*9550/MAX(1,Table15[[#This Row],[rpm]]))</f>
        <v>1170.3431372549016</v>
      </c>
      <c r="Q10" s="3">
        <f>MAX(0,Table7[Nm2]*MIN(Table36[ratedRpm]/MAX(1,Table15[[#This Row],[rpm]]),1-(MAX(0,Table15[[#This Row],[rpm]]-Table36[ratedRpm])/Table36[fadeOut])^Table36[fadeOutExp]))</f>
        <v>478.77673796791436</v>
      </c>
      <c r="R10" s="3">
        <f>(1-(1-Table15[[#This Row],[rpm]]/Table36[idleRpm])^2)*Table7[idleTEco]</f>
        <v>488.75294117647053</v>
      </c>
      <c r="S10" s="3">
        <f>MAX(0,(1-Table7[f1]*(Table36[maxTRpm1]-Table15[[#This Row],[rpm]])^2)*Table36[maxTEco])</f>
        <v>504.27395833333333</v>
      </c>
      <c r="T10" s="3">
        <f>MAX(0,(Table36[linearDown]*(1-Table7[f2Eco]*(Table15[[#This Row],[rpm]]-Table36[maxTRpm]))+(1-Table36[linearDown])*(1-Table7[f3Eco]*(Table15[[#This Row],[rpm]]-Table36[maxTRpm])^2))*Table36[maxTEco])</f>
        <v>586.60405228758179</v>
      </c>
      <c r="U10" s="3">
        <f>MAX(0,(Table36[maxPSEco]-Table7[f4Eco]*(Table15[[#This Row],[rpm]]-Table36[maxPRpm])^2)/1.36*9550/MAX(1,Table15[[#This Row],[rpm]]))</f>
        <v>1170.3431372549016</v>
      </c>
      <c r="V10" s="3">
        <f>MAX(0,Table7[Nm2Eco]*MIN(Table36[ratedRpm]/MAX(1,Table15[[#This Row],[rpm]]),1-(MAX(0,Table15[[#This Row],[rpm]]-Table36[ratedRpm])/Table36[fadeOut])^Table36[fadeOutExp]))</f>
        <v>478.77673796791436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1156.5118092691621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1156.5118092691621</v>
      </c>
      <c r="Y10" s="3">
        <f>ABS(Table15[[#This Row],[motor]]-Table15[[#This Row],[motorEco]])</f>
        <v>0</v>
      </c>
    </row>
    <row r="11" spans="1:29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528.31562500000007</v>
      </c>
      <c r="C11" s="13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528.31562500000007</v>
      </c>
      <c r="E11" s="13"/>
      <c r="F11" s="3">
        <f>Table36[Factor]*IF(Table15[[#This Row],[manualData]]&gt;0,Table15[[#This Row],[manualData]],Table15[[#This Row],[rawData]])</f>
        <v>528.31562500000007</v>
      </c>
      <c r="G11" s="3">
        <f>Table36[Factor]*IF(Table15[[#This Row],[manDataEco]]&gt;0,Table15[[#This Row],[manDataEco]],Table15[[#This Row],[rawDataEco]])</f>
        <v>528.31562500000007</v>
      </c>
      <c r="H11" s="18">
        <f>1.36*Table15[[#This Row],[rpm]]*Table15[[#This Row],[motor]]/9550</f>
        <v>75.23657068062829</v>
      </c>
      <c r="I11" s="18">
        <f>1.36*Table15[[#This Row],[rpm]]*Table15[[#This Row],[motorEco]]/9550</f>
        <v>75.23657068062829</v>
      </c>
      <c r="J1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242.37142857142857</v>
      </c>
      <c r="K1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motorTorque="528" fuelUsageRatio="242.4"/&gt;</v>
      </c>
      <c r="L11" s="7" t="str">
        <f>IF(Table15[[#This Row],[rpm]]&lt;1,Table7[xmlComment],IF(A10&gt;Table36[normRpm],"",IF(Table15[[#This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normRpm="0.455" torque="0.917"/&gt;</v>
      </c>
      <c r="M11" s="3">
        <f>(1-(1-Table15[[#This Row],[rpm]]/Table36[idleRpm])^2)*Table7[idleT]</f>
        <v>475.17647058823525</v>
      </c>
      <c r="N11" s="3">
        <f>MAX(0,(1-Table7[f1]*(Table36[maxTRpm1]-Table15[[#This Row],[rpm]])^2)*Table36[maxT])</f>
        <v>528.31562500000007</v>
      </c>
      <c r="O11" s="3">
        <f>MAX(0,(Table36[linearDown]*(1-Table7[f2]*(Table15[[#This Row],[rpm]]-Table36[maxTRpm]))+(1-Table36[linearDown])*(1-Table7[f3]*(Table15[[#This Row],[rpm]]-Table36[maxTRpm])^2))*Table36[maxT])</f>
        <v>588.78679144385023</v>
      </c>
      <c r="P11" s="3">
        <f>MAX(0,(Table36[maxPS]-Table7[f4]*(Table15[[#This Row],[rpm]]-Table36[maxPRpm])^2)/1.36*9550/MAX(1,Table15[[#This Row],[rpm]]))</f>
        <v>1053.3088235294115</v>
      </c>
      <c r="Q11" s="3">
        <f>MAX(0,Table7[Nm2]*MIN(Table36[ratedRpm]/MAX(1,Table15[[#This Row],[rpm]]),1-(MAX(0,Table15[[#This Row],[rpm]]-Table36[ratedRpm])/Table36[fadeOut])^Table36[fadeOutExp]))</f>
        <v>478.77673796791436</v>
      </c>
      <c r="R11" s="3">
        <f>(1-(1-Table15[[#This Row],[rpm]]/Table36[idleRpm])^2)*Table7[idleTEco]</f>
        <v>475.17647058823525</v>
      </c>
      <c r="S11" s="3">
        <f>MAX(0,(1-Table7[f1]*(Table36[maxTRpm1]-Table15[[#This Row],[rpm]])^2)*Table36[maxTEco])</f>
        <v>528.31562500000007</v>
      </c>
      <c r="T11" s="3">
        <f>MAX(0,(Table36[linearDown]*(1-Table7[f2Eco]*(Table15[[#This Row],[rpm]]-Table36[maxTRpm]))+(1-Table36[linearDown])*(1-Table7[f3Eco]*(Table15[[#This Row],[rpm]]-Table36[maxTRpm])^2))*Table36[maxTEco])</f>
        <v>588.78679144385023</v>
      </c>
      <c r="U11" s="3">
        <f>MAX(0,(Table36[maxPSEco]-Table7[f4Eco]*(Table15[[#This Row],[rpm]]-Table36[maxPRpm])^2)/1.36*9550/MAX(1,Table15[[#This Row],[rpm]]))</f>
        <v>1053.3088235294115</v>
      </c>
      <c r="V11" s="3">
        <f>MAX(0,Table7[Nm2Eco]*MIN(Table36[ratedRpm]/MAX(1,Table15[[#This Row],[rpm]]),1-(MAX(0,Table15[[#This Row],[rpm]]-Table36[ratedRpm])/Table36[fadeOut])^Table36[fadeOutExp]))</f>
        <v>478.77673796791436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1041.8181818181815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1041.8181818181815</v>
      </c>
      <c r="Y11" s="3">
        <f>ABS(Table15[[#This Row],[motor]]-Table15[[#This Row],[motorEco]])</f>
        <v>0</v>
      </c>
    </row>
    <row r="12" spans="1:29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547.5489583333333</v>
      </c>
      <c r="C12" s="13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547.5489583333333</v>
      </c>
      <c r="E12" s="13"/>
      <c r="F12" s="3">
        <f>Table36[Factor]*IF(Table15[[#This Row],[manualData]]&gt;0,Table15[[#This Row],[manualData]],Table15[[#This Row],[rawData]])</f>
        <v>547.5489583333333</v>
      </c>
      <c r="G12" s="3">
        <f>Table36[Factor]*IF(Table15[[#This Row],[manDataEco]]&gt;0,Table15[[#This Row],[manDataEco]],Table15[[#This Row],[rawDataEco]])</f>
        <v>547.5489583333333</v>
      </c>
      <c r="H12" s="18">
        <f>1.36*Table15[[#This Row],[rpm]]*Table15[[#This Row],[motor]]/9550</f>
        <v>85.77311431064571</v>
      </c>
      <c r="I12" s="18">
        <f>1.36*Table15[[#This Row],[rpm]]*Table15[[#This Row],[motorEco]]/9550</f>
        <v>85.77311431064571</v>
      </c>
      <c r="J1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239.73298059964728</v>
      </c>
      <c r="K1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motorTorque="548" fuelUsageRatio="239.7"/&gt;</v>
      </c>
      <c r="L12" s="7" t="str">
        <f>IF(Table15[[#This Row],[rpm]]&lt;1,Table7[xmlComment],IF(A11&gt;Table36[normRpm],"",IF(Table15[[#This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normRpm="0.5" torque="0.95"/&gt;</v>
      </c>
      <c r="M12" s="3">
        <f>(1-(1-Table15[[#This Row],[rpm]]/Table36[idleRpm])^2)*Table7[idleT]</f>
        <v>448.02352941176468</v>
      </c>
      <c r="N12" s="3">
        <f>MAX(0,(1-Table7[f1]*(Table36[maxTRpm1]-Table15[[#This Row],[rpm]])^2)*Table36[maxT])</f>
        <v>547.5489583333333</v>
      </c>
      <c r="O12" s="3">
        <f>MAX(0,(Table36[linearDown]*(1-Table7[f2]*(Table15[[#This Row],[rpm]]-Table36[maxTRpm]))+(1-Table36[linearDown])*(1-Table7[f3]*(Table15[[#This Row],[rpm]]-Table36[maxTRpm])^2))*Table36[maxT])</f>
        <v>589.22333927510397</v>
      </c>
      <c r="P12" s="3">
        <f>MAX(0,(Table36[maxPS]-Table7[f4]*(Table15[[#This Row],[rpm]]-Table36[maxPRpm])^2)/1.36*9550/MAX(1,Table15[[#This Row],[rpm]]))</f>
        <v>957.55347593582871</v>
      </c>
      <c r="Q12" s="3">
        <f>MAX(0,Table7[Nm2]*MIN(Table36[ratedRpm]/MAX(1,Table15[[#This Row],[rpm]]),1-(MAX(0,Table15[[#This Row],[rpm]]-Table36[ratedRpm])/Table36[fadeOut])^Table36[fadeOutExp]))</f>
        <v>478.77673796791436</v>
      </c>
      <c r="R12" s="3">
        <f>(1-(1-Table15[[#This Row],[rpm]]/Table36[idleRpm])^2)*Table7[idleTEco]</f>
        <v>448.02352941176468</v>
      </c>
      <c r="S12" s="3">
        <f>MAX(0,(1-Table7[f1]*(Table36[maxTRpm1]-Table15[[#This Row],[rpm]])^2)*Table36[maxTEco])</f>
        <v>547.5489583333333</v>
      </c>
      <c r="T12" s="3">
        <f>MAX(0,(Table36[linearDown]*(1-Table7[f2Eco]*(Table15[[#This Row],[rpm]]-Table36[maxTRpm]))+(1-Table36[linearDown])*(1-Table7[f3Eco]*(Table15[[#This Row],[rpm]]-Table36[maxTRpm])^2))*Table36[maxTEco])</f>
        <v>589.22333927510397</v>
      </c>
      <c r="U12" s="3">
        <f>MAX(0,(Table36[maxPSEco]-Table7[f4Eco]*(Table15[[#This Row],[rpm]]-Table36[maxPRpm])^2)/1.36*9550/MAX(1,Table15[[#This Row],[rpm]]))</f>
        <v>957.55347593582871</v>
      </c>
      <c r="V12" s="3">
        <f>MAX(0,Table7[Nm2Eco]*MIN(Table36[ratedRpm]/MAX(1,Table15[[#This Row],[rpm]]),1-(MAX(0,Table15[[#This Row],[rpm]]-Table36[ratedRpm])/Table36[fadeOut])^Table36[fadeOutExp]))</f>
        <v>478.77673796791436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947.97794117647038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947.97794117647038</v>
      </c>
      <c r="Y12" s="3">
        <f>ABS(Table15[[#This Row],[motor]]-Table15[[#This Row],[motorEco]])</f>
        <v>0</v>
      </c>
    </row>
    <row r="13" spans="1:29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561.97395833333337</v>
      </c>
      <c r="C13" s="13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561.97395833333337</v>
      </c>
      <c r="E13" s="13"/>
      <c r="F13" s="3">
        <f>Table36[Factor]*IF(Table15[[#This Row],[manualData]]&gt;0,Table15[[#This Row],[manualData]],Table15[[#This Row],[rawData]])</f>
        <v>561.97395833333337</v>
      </c>
      <c r="G13" s="3">
        <f>Table36[Factor]*IF(Table15[[#This Row],[manDataEco]]&gt;0,Table15[[#This Row],[manDataEco]],Table15[[#This Row],[rawDataEco]])</f>
        <v>561.97395833333337</v>
      </c>
      <c r="H13" s="18">
        <f>1.36*Table15[[#This Row],[rpm]]*Table15[[#This Row],[motor]]/9550</f>
        <v>96.035759162303691</v>
      </c>
      <c r="I13" s="18">
        <f>1.36*Table15[[#This Row],[rpm]]*Table15[[#This Row],[motorEco]]/9550</f>
        <v>96.035759162303691</v>
      </c>
      <c r="J1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238.29382716049383</v>
      </c>
      <c r="K1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motorTorque="562" fuelUsageRatio="238.3"/&gt;</v>
      </c>
      <c r="L13" s="7" t="str">
        <f>IF(Table15[[#This Row],[rpm]]&lt;1,Table7[xmlComment],IF(A12&gt;Table36[normRpm],"",IF(Table15[[#This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normRpm="0.545" torque="0.975"/&gt;</v>
      </c>
      <c r="M13" s="3">
        <f>(1-(1-Table15[[#This Row],[rpm]]/Table36[idleRpm])^2)*Table7[idleT]</f>
        <v>407.29411764705878</v>
      </c>
      <c r="N13" s="3">
        <f>MAX(0,(1-Table7[f1]*(Table36[maxTRpm1]-Table15[[#This Row],[rpm]])^2)*Table36[maxT])</f>
        <v>561.97395833333337</v>
      </c>
      <c r="O13" s="3">
        <f>MAX(0,(Table36[linearDown]*(1-Table7[f2]*(Table15[[#This Row],[rpm]]-Table36[maxTRpm]))+(1-Table36[linearDown])*(1-Table7[f3]*(Table15[[#This Row],[rpm]]-Table36[maxTRpm])^2))*Table36[maxT])</f>
        <v>587.91369578134299</v>
      </c>
      <c r="P13" s="3">
        <f>MAX(0,(Table36[maxPS]-Table7[f4]*(Table15[[#This Row],[rpm]]-Table36[maxPRpm])^2)/1.36*9550/MAX(1,Table15[[#This Row],[rpm]]))</f>
        <v>877.75735294117635</v>
      </c>
      <c r="Q13" s="3">
        <f>MAX(0,Table7[Nm2]*MIN(Table36[ratedRpm]/MAX(1,Table15[[#This Row],[rpm]]),1-(MAX(0,Table15[[#This Row],[rpm]]-Table36[ratedRpm])/Table36[fadeOut])^Table36[fadeOutExp]))</f>
        <v>478.77673796791436</v>
      </c>
      <c r="R13" s="3">
        <f>(1-(1-Table15[[#This Row],[rpm]]/Table36[idleRpm])^2)*Table7[idleTEco]</f>
        <v>407.29411764705878</v>
      </c>
      <c r="S13" s="3">
        <f>MAX(0,(1-Table7[f1]*(Table36[maxTRpm1]-Table15[[#This Row],[rpm]])^2)*Table36[maxTEco])</f>
        <v>561.97395833333337</v>
      </c>
      <c r="T13" s="3">
        <f>MAX(0,(Table36[linearDown]*(1-Table7[f2Eco]*(Table15[[#This Row],[rpm]]-Table36[maxTRpm]))+(1-Table36[linearDown])*(1-Table7[f3Eco]*(Table15[[#This Row],[rpm]]-Table36[maxTRpm])^2))*Table36[maxTEco])</f>
        <v>587.91369578134299</v>
      </c>
      <c r="U13" s="3">
        <f>MAX(0,(Table36[maxPSEco]-Table7[f4Eco]*(Table15[[#This Row],[rpm]]-Table36[maxPRpm])^2)/1.36*9550/MAX(1,Table15[[#This Row],[rpm]]))</f>
        <v>877.75735294117635</v>
      </c>
      <c r="V13" s="3">
        <f>MAX(0,Table7[Nm2Eco]*MIN(Table36[ratedRpm]/MAX(1,Table15[[#This Row],[rpm]]),1-(MAX(0,Table15[[#This Row],[rpm]]-Table36[ratedRpm])/Table36[fadeOut])^Table36[fadeOutExp]))</f>
        <v>478.77673796791436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869.77774064171115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869.77774064171115</v>
      </c>
      <c r="Y13" s="3">
        <f>ABS(Table15[[#This Row],[motor]]-Table15[[#This Row],[motorEco]])</f>
        <v>0</v>
      </c>
    </row>
    <row r="14" spans="1:29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571.59062499999993</v>
      </c>
      <c r="C14" s="13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571.59062499999993</v>
      </c>
      <c r="E14" s="13"/>
      <c r="F14" s="3">
        <f>Table36[Factor]*IF(Table15[[#This Row],[manualData]]&gt;0,Table15[[#This Row],[manualData]],Table15[[#This Row],[rawData]])</f>
        <v>571.59062499999993</v>
      </c>
      <c r="G14" s="3">
        <f>Table36[Factor]*IF(Table15[[#This Row],[manDataEco]]&gt;0,Table15[[#This Row],[manDataEco]],Table15[[#This Row],[rawDataEco]])</f>
        <v>571.59062499999993</v>
      </c>
      <c r="H14" s="18">
        <f>1.36*Table15[[#This Row],[rpm]]*Table15[[#This Row],[motor]]/9550</f>
        <v>105.81908115183246</v>
      </c>
      <c r="I14" s="18">
        <f>1.36*Table15[[#This Row],[rpm]]*Table15[[#This Row],[motorEco]]/9550</f>
        <v>105.81908115183246</v>
      </c>
      <c r="J1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238.02751763209619</v>
      </c>
      <c r="K1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motorTorque="572" fuelUsageRatio="238"/&gt;</v>
      </c>
      <c r="L14" s="7" t="str">
        <f>IF(Table15[[#This Row],[rpm]]&lt;1,Table7[xmlComment],IF(A13&gt;Table36[normRpm],"",IF(Table15[[#This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normRpm="0.591" torque="0.992"/&gt;</v>
      </c>
      <c r="M14" s="3">
        <f>(1-(1-Table15[[#This Row],[rpm]]/Table36[idleRpm])^2)*Table7[idleT]</f>
        <v>352.98823529411771</v>
      </c>
      <c r="N14" s="3">
        <f>MAX(0,(1-Table7[f1]*(Table36[maxTRpm1]-Table15[[#This Row],[rpm]])^2)*Table36[maxT])</f>
        <v>571.59062499999993</v>
      </c>
      <c r="O14" s="3">
        <f>MAX(0,(Table36[linearDown]*(1-Table7[f2]*(Table15[[#This Row],[rpm]]-Table36[maxTRpm]))+(1-Table36[linearDown])*(1-Table7[f3]*(Table15[[#This Row],[rpm]]-Table36[maxTRpm])^2))*Table36[maxT])</f>
        <v>584.85786096256686</v>
      </c>
      <c r="P14" s="3">
        <f>MAX(0,(Table36[maxPS]-Table7[f4]*(Table15[[#This Row],[rpm]]-Table36[maxPRpm])^2)/1.36*9550/MAX(1,Table15[[#This Row],[rpm]]))</f>
        <v>810.23755656108585</v>
      </c>
      <c r="Q14" s="3">
        <f>MAX(0,Table7[Nm2]*MIN(Table36[ratedRpm]/MAX(1,Table15[[#This Row],[rpm]]),1-(MAX(0,Table15[[#This Row],[rpm]]-Table36[ratedRpm])/Table36[fadeOut])^Table36[fadeOutExp]))</f>
        <v>478.77673796791436</v>
      </c>
      <c r="R14" s="3">
        <f>(1-(1-Table15[[#This Row],[rpm]]/Table36[idleRpm])^2)*Table7[idleTEco]</f>
        <v>352.98823529411771</v>
      </c>
      <c r="S14" s="3">
        <f>MAX(0,(1-Table7[f1]*(Table36[maxTRpm1]-Table15[[#This Row],[rpm]])^2)*Table36[maxTEco])</f>
        <v>571.59062499999993</v>
      </c>
      <c r="T14" s="3">
        <f>MAX(0,(Table36[linearDown]*(1-Table7[f2Eco]*(Table15[[#This Row],[rpm]]-Table36[maxTRpm]))+(1-Table36[linearDown])*(1-Table7[f3Eco]*(Table15[[#This Row],[rpm]]-Table36[maxTRpm])^2))*Table36[maxTEco])</f>
        <v>584.85786096256686</v>
      </c>
      <c r="U14" s="3">
        <f>MAX(0,(Table36[maxPSEco]-Table7[f4Eco]*(Table15[[#This Row],[rpm]]-Table36[maxPRpm])^2)/1.36*9550/MAX(1,Table15[[#This Row],[rpm]]))</f>
        <v>810.23755656108585</v>
      </c>
      <c r="V14" s="3">
        <f>MAX(0,Table7[Nm2Eco]*MIN(Table36[ratedRpm]/MAX(1,Table15[[#This Row],[rpm]]),1-(MAX(0,Table15[[#This Row],[rpm]]-Table36[ratedRpm])/Table36[fadeOut])^Table36[fadeOutExp]))</f>
        <v>478.77673796791436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803.6083401892223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803.6083401892223</v>
      </c>
      <c r="Y14" s="3">
        <f>ABS(Table15[[#This Row],[motor]]-Table15[[#This Row],[motorEco]])</f>
        <v>0</v>
      </c>
    </row>
    <row r="15" spans="1:29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576.39895833333333</v>
      </c>
      <c r="C15" s="13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576.39895833333333</v>
      </c>
      <c r="E15" s="13"/>
      <c r="F15" s="3">
        <f>Table36[Factor]*IF(Table15[[#This Row],[manualData]]&gt;0,Table15[[#This Row],[manualData]],Table15[[#This Row],[rawData]])</f>
        <v>576.39895833333333</v>
      </c>
      <c r="G15" s="3">
        <f>Table36[Factor]*IF(Table15[[#This Row],[manDataEco]]&gt;0,Table15[[#This Row],[manDataEco]],Table15[[#This Row],[rawDataEco]])</f>
        <v>576.39895833333333</v>
      </c>
      <c r="H15" s="18">
        <f>1.36*Table15[[#This Row],[rpm]]*Table15[[#This Row],[motor]]/9550</f>
        <v>114.91765619546248</v>
      </c>
      <c r="I15" s="18">
        <f>1.36*Table15[[#This Row],[rpm]]*Table15[[#This Row],[motorEco]]/9550</f>
        <v>114.91765619546248</v>
      </c>
      <c r="J1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238.51671998047303</v>
      </c>
      <c r="K1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motorTorque="576" fuelUsageRatio="238.5"/&gt;</v>
      </c>
      <c r="L15" s="7" t="str">
        <f>IF(Table15[[#This Row],[rpm]]&lt;1,Table7[xmlComment],IF(A14&gt;Table36[normRpm],"",IF(Table15[[#This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normRpm="0.636" torque="1"/&gt;</v>
      </c>
      <c r="M15" s="3">
        <f>(1-(1-Table15[[#This Row],[rpm]]/Table36[idleRpm])^2)*Table7[idleT]</f>
        <v>285.10588235294119</v>
      </c>
      <c r="N15" s="3">
        <f>MAX(0,(1-Table7[f1]*(Table36[maxTRpm1]-Table15[[#This Row],[rpm]])^2)*Table36[maxT])</f>
        <v>576.39895833333333</v>
      </c>
      <c r="O15" s="3">
        <f>MAX(0,(Table36[linearDown]*(1-Table7[f2]*(Table15[[#This Row],[rpm]]-Table36[maxTRpm]))+(1-Table36[linearDown])*(1-Table7[f3]*(Table15[[#This Row],[rpm]]-Table36[maxTRpm])^2))*Table36[maxT])</f>
        <v>580.05583481877602</v>
      </c>
      <c r="P15" s="3">
        <f>MAX(0,(Table36[maxPS]-Table7[f4]*(Table15[[#This Row],[rpm]]-Table36[maxPRpm])^2)/1.36*9550/MAX(1,Table15[[#This Row],[rpm]]))</f>
        <v>752.36344537815114</v>
      </c>
      <c r="Q15" s="3">
        <f>MAX(0,Table7[Nm2]*MIN(Table36[ratedRpm]/MAX(1,Table15[[#This Row],[rpm]]),1-(MAX(0,Table15[[#This Row],[rpm]]-Table36[ratedRpm])/Table36[fadeOut])^Table36[fadeOutExp]))</f>
        <v>478.77673796791436</v>
      </c>
      <c r="R15" s="3">
        <f>(1-(1-Table15[[#This Row],[rpm]]/Table36[idleRpm])^2)*Table7[idleTEco]</f>
        <v>285.10588235294119</v>
      </c>
      <c r="S15" s="3">
        <f>MAX(0,(1-Table7[f1]*(Table36[maxTRpm1]-Table15[[#This Row],[rpm]])^2)*Table36[maxTEco])</f>
        <v>576.39895833333333</v>
      </c>
      <c r="T15" s="3">
        <f>MAX(0,(Table36[linearDown]*(1-Table7[f2Eco]*(Table15[[#This Row],[rpm]]-Table36[maxTRpm]))+(1-Table36[linearDown])*(1-Table7[f3Eco]*(Table15[[#This Row],[rpm]]-Table36[maxTRpm])^2))*Table36[maxTEco])</f>
        <v>580.05583481877602</v>
      </c>
      <c r="U15" s="3">
        <f>MAX(0,(Table36[maxPSEco]-Table7[f4Eco]*(Table15[[#This Row],[rpm]]-Table36[maxPRpm])^2)/1.36*9550/MAX(1,Table15[[#This Row],[rpm]]))</f>
        <v>752.36344537815114</v>
      </c>
      <c r="V15" s="3">
        <f>MAX(0,Table7[Nm2Eco]*MIN(Table36[ratedRpm]/MAX(1,Table15[[#This Row],[rpm]]),1-(MAX(0,Table15[[#This Row],[rpm]]-Table36[ratedRpm])/Table36[fadeOut])^Table36[fadeOutExp]))</f>
        <v>478.77673796791436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746.8917112299464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746.8917112299464</v>
      </c>
      <c r="Y15" s="3">
        <f>ABS(Table15[[#This Row],[motor]]-Table15[[#This Row],[motorEco]])</f>
        <v>0</v>
      </c>
    </row>
    <row r="16" spans="1:29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573.50761734997036</v>
      </c>
      <c r="C16" s="13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573.50761734997036</v>
      </c>
      <c r="E16" s="13"/>
      <c r="F16" s="3">
        <f>Table36[Factor]*IF(Table15[[#This Row],[manualData]]&gt;0,Table15[[#This Row],[manualData]],Table15[[#This Row],[rawData]])</f>
        <v>573.50761734997036</v>
      </c>
      <c r="G16" s="3">
        <f>Table36[Factor]*IF(Table15[[#This Row],[manDataEco]]&gt;0,Table15[[#This Row],[manDataEco]],Table15[[#This Row],[rawDataEco]])</f>
        <v>573.50761734997036</v>
      </c>
      <c r="H16" s="18">
        <f>1.36*Table15[[#This Row],[rpm]]*Table15[[#This Row],[motor]]/9550</f>
        <v>122.5084334443916</v>
      </c>
      <c r="I16" s="18">
        <f>1.36*Table15[[#This Row],[rpm]]*Table15[[#This Row],[motorEco]]/9550</f>
        <v>122.5084334443916</v>
      </c>
      <c r="J1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239.61742526432087</v>
      </c>
      <c r="K1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motorTorque="574" fuelUsageRatio="239.6"/&gt;</v>
      </c>
      <c r="L16" s="7" t="str">
        <f>IF(Table15[[#This Row],[rpm]]&lt;1,Table7[xmlComment],IF(A15&gt;Table36[normRpm],"",IF(Table15[[#This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normRpm="0.682" torque="0.995"/&gt;</v>
      </c>
      <c r="M16" s="3">
        <f>(1-(1-Table15[[#This Row],[rpm]]/Table36[idleRpm])^2)*Table7[idleT]</f>
        <v>203.64705882352942</v>
      </c>
      <c r="N16" s="3">
        <f>MAX(0,(1-Table7[f1]*(Table36[maxTRpm1]-Table15[[#This Row],[rpm]])^2)*Table36[maxT])</f>
        <v>576.39895833333333</v>
      </c>
      <c r="O16" s="3">
        <f>MAX(0,(Table36[linearDown]*(1-Table7[f2]*(Table15[[#This Row],[rpm]]-Table36[maxTRpm]))+(1-Table36[linearDown])*(1-Table7[f3]*(Table15[[#This Row],[rpm]]-Table36[maxTRpm])^2))*Table36[maxT])</f>
        <v>573.50761734997036</v>
      </c>
      <c r="P16" s="3">
        <f>MAX(0,(Table36[maxPS]-Table7[f4]*(Table15[[#This Row],[rpm]]-Table36[maxPRpm])^2)/1.36*9550/MAX(1,Table15[[#This Row],[rpm]]))</f>
        <v>702.2058823529411</v>
      </c>
      <c r="Q16" s="3">
        <f>MAX(0,Table7[Nm2]*MIN(Table36[ratedRpm]/MAX(1,Table15[[#This Row],[rpm]]),1-(MAX(0,Table15[[#This Row],[rpm]]-Table36[ratedRpm])/Table36[fadeOut])^Table36[fadeOutExp]))</f>
        <v>478.77673796791436</v>
      </c>
      <c r="R16" s="3">
        <f>(1-(1-Table15[[#This Row],[rpm]]/Table36[idleRpm])^2)*Table7[idleTEco]</f>
        <v>203.64705882352942</v>
      </c>
      <c r="S16" s="3">
        <f>MAX(0,(1-Table7[f1]*(Table36[maxTRpm1]-Table15[[#This Row],[rpm]])^2)*Table36[maxTEco])</f>
        <v>576.39895833333333</v>
      </c>
      <c r="T16" s="3">
        <f>MAX(0,(Table36[linearDown]*(1-Table7[f2Eco]*(Table15[[#This Row],[rpm]]-Table36[maxTRpm]))+(1-Table36[linearDown])*(1-Table7[f3Eco]*(Table15[[#This Row],[rpm]]-Table36[maxTRpm])^2))*Table36[maxTEco])</f>
        <v>573.50761734997036</v>
      </c>
      <c r="U16" s="3">
        <f>MAX(0,(Table36[maxPSEco]-Table7[f4Eco]*(Table15[[#This Row],[rpm]]-Table36[maxPRpm])^2)/1.36*9550/MAX(1,Table15[[#This Row],[rpm]]))</f>
        <v>702.2058823529411</v>
      </c>
      <c r="V16" s="3">
        <f>MAX(0,Table7[Nm2Eco]*MIN(Table36[ratedRpm]/MAX(1,Table15[[#This Row],[rpm]]),1-(MAX(0,Table15[[#This Row],[rpm]]-Table36[ratedRpm])/Table36[fadeOut])^Table36[fadeOutExp]))</f>
        <v>478.77673796791436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697.73729946524054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697.73729946524054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565.21320855614977</v>
      </c>
      <c r="C17" s="13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565.21320855614977</v>
      </c>
      <c r="E17" s="13"/>
      <c r="F17" s="3">
        <f>Table36[Factor]*IF(Table15[[#This Row],[manualData]]&gt;0,Table15[[#This Row],[manualData]],Table15[[#This Row],[rawData]])</f>
        <v>565.21320855614977</v>
      </c>
      <c r="G17" s="3">
        <f>Table36[Factor]*IF(Table15[[#This Row],[manDataEco]]&gt;0,Table15[[#This Row],[manDataEco]],Table15[[#This Row],[rawDataEco]])</f>
        <v>565.21320855614977</v>
      </c>
      <c r="H17" s="18">
        <f>1.36*Table15[[#This Row],[rpm]]*Table15[[#This Row],[motor]]/9550</f>
        <v>128.78575306996669</v>
      </c>
      <c r="I17" s="18">
        <f>1.36*Table15[[#This Row],[rpm]]*Table15[[#This Row],[motorEco]]/9550</f>
        <v>128.78575306996669</v>
      </c>
      <c r="J1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241.32963348363973</v>
      </c>
      <c r="K1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motorTorque="565" fuelUsageRatio="241.3"/&gt;</v>
      </c>
      <c r="L17" s="7" t="str">
        <f>IF(Table15[[#This Row],[rpm]]&lt;1,Table7[xmlComment],IF(A16&gt;Table36[normRpm],"",IF(Table15[[#This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normRpm="0.727" torque="0.981"/&gt;</v>
      </c>
      <c r="M17" s="3">
        <f>(1-(1-Table15[[#This Row],[rpm]]/Table36[idleRpm])^2)*Table7[idleT]</f>
        <v>108.61176470588238</v>
      </c>
      <c r="N17" s="3">
        <f>MAX(0,(1-Table7[f1]*(Table36[maxTRpm1]-Table15[[#This Row],[rpm]])^2)*Table36[maxT])</f>
        <v>571.59062499999993</v>
      </c>
      <c r="O17" s="3">
        <f>MAX(0,(Table36[linearDown]*(1-Table7[f2]*(Table15[[#This Row],[rpm]]-Table36[maxTRpm]))+(1-Table36[linearDown])*(1-Table7[f3]*(Table15[[#This Row],[rpm]]-Table36[maxTRpm])^2))*Table36[maxT])</f>
        <v>565.21320855614977</v>
      </c>
      <c r="P17" s="3">
        <f>MAX(0,(Table36[maxPS]-Table7[f4]*(Table15[[#This Row],[rpm]]-Table36[maxPRpm])^2)/1.36*9550/MAX(1,Table15[[#This Row],[rpm]]))</f>
        <v>658.31801470588221</v>
      </c>
      <c r="Q17" s="3">
        <f>MAX(0,Table7[Nm2]*MIN(Table36[ratedRpm]/MAX(1,Table15[[#This Row],[rpm]]),1-(MAX(0,Table15[[#This Row],[rpm]]-Table36[ratedRpm])/Table36[fadeOut])^Table36[fadeOutExp]))</f>
        <v>478.77673796791436</v>
      </c>
      <c r="R17" s="3">
        <f>(1-(1-Table15[[#This Row],[rpm]]/Table36[idleRpm])^2)*Table7[idleTEco]</f>
        <v>108.61176470588238</v>
      </c>
      <c r="S17" s="3">
        <f>MAX(0,(1-Table7[f1]*(Table36[maxTRpm1]-Table15[[#This Row],[rpm]])^2)*Table36[maxTEco])</f>
        <v>571.59062499999993</v>
      </c>
      <c r="T17" s="3">
        <f>MAX(0,(Table36[linearDown]*(1-Table7[f2Eco]*(Table15[[#This Row],[rpm]]-Table36[maxTRpm]))+(1-Table36[linearDown])*(1-Table7[f3Eco]*(Table15[[#This Row],[rpm]]-Table36[maxTRpm])^2))*Table36[maxTEco])</f>
        <v>565.21320855614977</v>
      </c>
      <c r="U17" s="3">
        <f>MAX(0,(Table36[maxPSEco]-Table7[f4Eco]*(Table15[[#This Row],[rpm]]-Table36[maxPRpm])^2)/1.36*9550/MAX(1,Table15[[#This Row],[rpm]]))</f>
        <v>658.31801470588221</v>
      </c>
      <c r="V17" s="3">
        <f>MAX(0,Table7[Nm2Eco]*MIN(Table36[ratedRpm]/MAX(1,Table15[[#This Row],[rpm]]),1-(MAX(0,Table15[[#This Row],[rpm]]-Table36[ratedRpm])/Table36[fadeOut])^Table36[fadeOutExp]))</f>
        <v>478.77673796791436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654.72718917112286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654.72718917112286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555.17260843731435</v>
      </c>
      <c r="C18" s="13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555.17260843731435</v>
      </c>
      <c r="E18" s="13"/>
      <c r="F18" s="3">
        <f>Table36[Factor]*IF(Table15[[#This Row],[manualData]]&gt;0,Table15[[#This Row],[manualData]],Table15[[#This Row],[rawData]])</f>
        <v>555.17260843731435</v>
      </c>
      <c r="G18" s="3">
        <f>Table36[Factor]*IF(Table15[[#This Row],[manDataEco]]&gt;0,Table15[[#This Row],[manDataEco]],Table15[[#This Row],[rawDataEco]])</f>
        <v>555.17260843731435</v>
      </c>
      <c r="H18" s="18">
        <f>1.36*Table15[[#This Row],[rpm]]*Table15[[#This Row],[motor]]/9550</f>
        <v>134.40409117351527</v>
      </c>
      <c r="I18" s="18">
        <f>1.36*Table15[[#This Row],[rpm]]*Table15[[#This Row],[motorEco]]/9550</f>
        <v>134.40409117351527</v>
      </c>
      <c r="J1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243.65334463842962</v>
      </c>
      <c r="K1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motorTorque="555" fuelUsageRatio="243.7"/&gt;</v>
      </c>
      <c r="L18" s="7" t="str">
        <f>IF(Table15[[#This Row],[rpm]]&lt;1,Table7[xmlComment],IF(A17&gt;Table36[normRpm],"",IF(Table15[[#This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normRpm="0.773" torque="0.963"/&gt;</v>
      </c>
      <c r="M18" s="3">
        <f>(1-(1-Table15[[#This Row],[rpm]]/Table36[idleRpm])^2)*Table7[idleT]</f>
        <v>0</v>
      </c>
      <c r="N18" s="3">
        <f>MAX(0,(1-Table7[f1]*(Table36[maxTRpm1]-Table15[[#This Row],[rpm]])^2)*Table36[maxT])</f>
        <v>561.97395833333337</v>
      </c>
      <c r="O18" s="3">
        <f>MAX(0,(Table36[linearDown]*(1-Table7[f2]*(Table15[[#This Row],[rpm]]-Table36[maxTRpm]))+(1-Table36[linearDown])*(1-Table7[f3]*(Table15[[#This Row],[rpm]]-Table36[maxTRpm])^2))*Table36[maxT])</f>
        <v>555.17260843731435</v>
      </c>
      <c r="P18" s="3">
        <f>MAX(0,(Table36[maxPS]-Table7[f4]*(Table15[[#This Row],[rpm]]-Table36[maxPRpm])^2)/1.36*9550/MAX(1,Table15[[#This Row],[rpm]]))</f>
        <v>619.59342560553625</v>
      </c>
      <c r="Q18" s="3">
        <f>MAX(0,Table7[Nm2]*MIN(Table36[ratedRpm]/MAX(1,Table15[[#This Row],[rpm]]),1-(MAX(0,Table15[[#This Row],[rpm]]-Table36[ratedRpm])/Table36[fadeOut])^Table36[fadeOutExp]))</f>
        <v>478.77673796791436</v>
      </c>
      <c r="R18" s="3">
        <f>(1-(1-Table15[[#This Row],[rpm]]/Table36[idleRpm])^2)*Table7[idleTEco]</f>
        <v>0</v>
      </c>
      <c r="S18" s="3">
        <f>MAX(0,(1-Table7[f1]*(Table36[maxTRpm1]-Table15[[#This Row],[rpm]])^2)*Table36[maxTEco])</f>
        <v>561.97395833333337</v>
      </c>
      <c r="T18" s="3">
        <f>MAX(0,(Table36[linearDown]*(1-Table7[f2Eco]*(Table15[[#This Row],[rpm]]-Table36[maxTRpm]))+(1-Table36[linearDown])*(1-Table7[f3Eco]*(Table15[[#This Row],[rpm]]-Table36[maxTRpm])^2))*Table36[maxTEco])</f>
        <v>555.17260843731435</v>
      </c>
      <c r="U18" s="3">
        <f>MAX(0,(Table36[maxPSEco]-Table7[f4Eco]*(Table15[[#This Row],[rpm]]-Table36[maxPRpm])^2)/1.36*9550/MAX(1,Table15[[#This Row],[rpm]]))</f>
        <v>619.59342560553625</v>
      </c>
      <c r="V18" s="3">
        <f>MAX(0,Table7[Nm2Eco]*MIN(Table36[ratedRpm]/MAX(1,Table15[[#This Row],[rpm]]),1-(MAX(0,Table15[[#This Row],[rpm]]-Table36[ratedRpm])/Table36[fadeOut])^Table36[fadeOutExp]))</f>
        <v>478.77673796791436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616.77709185278377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616.77709185278377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543.385816993464</v>
      </c>
      <c r="C19" s="13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543.385816993464</v>
      </c>
      <c r="E19" s="13"/>
      <c r="F19" s="3">
        <f>Table36[Factor]*IF(Table15[[#This Row],[manualData]]&gt;0,Table15[[#This Row],[manualData]],Table15[[#This Row],[rawData]])</f>
        <v>543.385816993464</v>
      </c>
      <c r="G19" s="3">
        <f>Table36[Factor]*IF(Table15[[#This Row],[manDataEco]]&gt;0,Table15[[#This Row],[manDataEco]],Table15[[#This Row],[rawDataEco]])</f>
        <v>543.385816993464</v>
      </c>
      <c r="H19" s="18">
        <f>1.36*Table15[[#This Row],[rpm]]*Table15[[#This Row],[motor]]/9550</f>
        <v>139.28884607329843</v>
      </c>
      <c r="I19" s="18">
        <f>1.36*Table15[[#This Row],[rpm]]*Table15[[#This Row],[motorEco]]/9550</f>
        <v>139.28884607329843</v>
      </c>
      <c r="J1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246.58855872869054</v>
      </c>
      <c r="K1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motorTorque="543" fuelUsageRatio="246.6"/&gt;</v>
      </c>
      <c r="L19" s="7" t="str">
        <f>IF(Table15[[#This Row],[rpm]]&lt;1,Table7[xmlComment],IF(A18&gt;Table36[normRpm],"",IF(Table15[[#This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normRpm="0.818" torque="0.943"/&gt;</v>
      </c>
      <c r="M19" s="3">
        <f>(1-(1-Table15[[#This Row],[rpm]]/Table36[idleRpm])^2)*Table7[idleT]</f>
        <v>-122.18823529411766</v>
      </c>
      <c r="N19" s="3">
        <f>MAX(0,(1-Table7[f1]*(Table36[maxTRpm1]-Table15[[#This Row],[rpm]])^2)*Table36[maxT])</f>
        <v>547.5489583333333</v>
      </c>
      <c r="O19" s="3">
        <f>MAX(0,(Table36[linearDown]*(1-Table7[f2]*(Table15[[#This Row],[rpm]]-Table36[maxTRpm]))+(1-Table36[linearDown])*(1-Table7[f3]*(Table15[[#This Row],[rpm]]-Table36[maxTRpm])^2))*Table36[maxT])</f>
        <v>543.385816993464</v>
      </c>
      <c r="P19" s="3">
        <f>MAX(0,(Table36[maxPS]-Table7[f4]*(Table15[[#This Row],[rpm]]-Table36[maxPRpm])^2)/1.36*9550/MAX(1,Table15[[#This Row],[rpm]]))</f>
        <v>585.17156862745082</v>
      </c>
      <c r="Q19" s="3">
        <f>MAX(0,Table7[Nm2]*MIN(Table36[ratedRpm]/MAX(1,Table15[[#This Row],[rpm]]),1-(MAX(0,Table15[[#This Row],[rpm]]-Table36[ratedRpm])/Table36[fadeOut])^Table36[fadeOutExp]))</f>
        <v>478.77673796791436</v>
      </c>
      <c r="R19" s="3">
        <f>(1-(1-Table15[[#This Row],[rpm]]/Table36[idleRpm])^2)*Table7[idleTEco]</f>
        <v>-122.18823529411766</v>
      </c>
      <c r="S19" s="3">
        <f>MAX(0,(1-Table7[f1]*(Table36[maxTRpm1]-Table15[[#This Row],[rpm]])^2)*Table36[maxTEco])</f>
        <v>547.5489583333333</v>
      </c>
      <c r="T19" s="3">
        <f>MAX(0,(Table36[linearDown]*(1-Table7[f2Eco]*(Table15[[#This Row],[rpm]]-Table36[maxTRpm]))+(1-Table36[linearDown])*(1-Table7[f3Eco]*(Table15[[#This Row],[rpm]]-Table36[maxTRpm])^2))*Table36[maxTEco])</f>
        <v>543.385816993464</v>
      </c>
      <c r="U19" s="3">
        <f>MAX(0,(Table36[maxPSEco]-Table7[f4Eco]*(Table15[[#This Row],[rpm]]-Table36[maxPRpm])^2)/1.36*9550/MAX(1,Table15[[#This Row],[rpm]]))</f>
        <v>585.17156862745082</v>
      </c>
      <c r="V19" s="3">
        <f>MAX(0,Table7[Nm2Eco]*MIN(Table36[ratedRpm]/MAX(1,Table15[[#This Row],[rpm]]),1-(MAX(0,Table15[[#This Row],[rpm]]-Table36[ratedRpm])/Table36[fadeOut])^Table36[fadeOutExp]))</f>
        <v>478.77673796791436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583.0436720142601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583.0436720142601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536.83759952465834</v>
      </c>
      <c r="C20" s="13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536.83759952465834</v>
      </c>
      <c r="E20" s="13"/>
      <c r="F20" s="3">
        <f>Table36[Factor]*IF(Table15[[#This Row],[manualData]]&gt;0,Table15[[#This Row],[manualData]],Table15[[#This Row],[rawData]])</f>
        <v>536.83759952465834</v>
      </c>
      <c r="G20" s="3">
        <f>Table36[Factor]*IF(Table15[[#This Row],[manDataEco]]&gt;0,Table15[[#This Row],[manDataEco]],Table15[[#This Row],[rawDataEco]])</f>
        <v>536.83759952465834</v>
      </c>
      <c r="H20" s="18">
        <f>1.36*Table15[[#This Row],[rpm]]*Table15[[#This Row],[motor]]/9550</f>
        <v>141.43281679623459</v>
      </c>
      <c r="I20" s="18">
        <f>1.36*Table15[[#This Row],[rpm]]*Table15[[#This Row],[motorEco]]/9550</f>
        <v>141.43281679623459</v>
      </c>
      <c r="J2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248.28547937462264</v>
      </c>
      <c r="K2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motorTorque="537" fuelUsageRatio="248.3"/&gt;</v>
      </c>
      <c r="L20" s="7" t="str">
        <f>IF(Table15[[#This Row],[rpm]]&lt;1,Table7[xmlComment],IF(A19&gt;Table36[normRpm],"",IF(Table15[[#This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normRpm="0.841" torque="0.931"/&gt;</v>
      </c>
      <c r="M20" s="3">
        <f>(1-(1-Table15[[#This Row],[rpm]]/Table36[idleRpm])^2)*Table7[idleT]</f>
        <v>-188.37352941176454</v>
      </c>
      <c r="N20" s="3">
        <f>MAX(0,(1-Table7[f1]*(Table36[maxTRpm1]-Table15[[#This Row],[rpm]])^2)*Table36[maxT])</f>
        <v>538.5333333333333</v>
      </c>
      <c r="O20" s="3">
        <f>MAX(0,(Table36[linearDown]*(1-Table7[f2]*(Table15[[#This Row],[rpm]]-Table36[maxTRpm]))+(1-Table36[linearDown])*(1-Table7[f3]*(Table15[[#This Row],[rpm]]-Table36[maxTRpm])^2))*Table36[maxT])</f>
        <v>536.83759952465834</v>
      </c>
      <c r="P20" s="3">
        <f>MAX(0,(Table36[maxPS]-Table7[f4]*(Table15[[#This Row],[rpm]]-Table36[maxPRpm])^2)/1.36*9550/MAX(1,Table15[[#This Row],[rpm]]))</f>
        <v>569.356120826709</v>
      </c>
      <c r="Q20" s="3">
        <f>MAX(0,Table7[Nm2]*MIN(Table36[ratedRpm]/MAX(1,Table15[[#This Row],[rpm]]),1-(MAX(0,Table15[[#This Row],[rpm]]-Table36[ratedRpm])/Table36[fadeOut])^Table36[fadeOutExp]))</f>
        <v>478.77673796791436</v>
      </c>
      <c r="R20" s="3">
        <f>(1-(1-Table15[[#This Row],[rpm]]/Table36[idleRpm])^2)*Table7[idleTEco]</f>
        <v>-188.37352941176454</v>
      </c>
      <c r="S20" s="3">
        <f>MAX(0,(1-Table7[f1]*(Table36[maxTRpm1]-Table15[[#This Row],[rpm]])^2)*Table36[maxTEco])</f>
        <v>538.5333333333333</v>
      </c>
      <c r="T20" s="3">
        <f>MAX(0,(Table36[linearDown]*(1-Table7[f2Eco]*(Table15[[#This Row],[rpm]]-Table36[maxTRpm]))+(1-Table36[linearDown])*(1-Table7[f3Eco]*(Table15[[#This Row],[rpm]]-Table36[maxTRpm])^2))*Table36[maxTEco])</f>
        <v>536.83759952465834</v>
      </c>
      <c r="U20" s="3">
        <f>MAX(0,(Table36[maxPSEco]-Table7[f4Eco]*(Table15[[#This Row],[rpm]]-Table36[maxPRpm])^2)/1.36*9550/MAX(1,Table15[[#This Row],[rpm]]))</f>
        <v>569.356120826709</v>
      </c>
      <c r="V20" s="3">
        <f>MAX(0,Table7[Nm2Eco]*MIN(Table36[ratedRpm]/MAX(1,Table15[[#This Row],[rpm]]),1-(MAX(0,Table15[[#This Row],[rpm]]-Table36[ratedRpm])/Table36[fadeOut])^Table36[fadeOutExp]))</f>
        <v>478.77673796791436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567.54453316953311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567.54453316953311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529.85283422459895</v>
      </c>
      <c r="C21" s="13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529.85283422459895</v>
      </c>
      <c r="E21" s="13"/>
      <c r="F21" s="3">
        <f>Table36[Factor]*IF(Table15[[#This Row],[manualData]]&gt;0,Table15[[#This Row],[manualData]],Table15[[#This Row],[rawData]])</f>
        <v>529.85283422459895</v>
      </c>
      <c r="G21" s="3">
        <f>Table36[Factor]*IF(Table15[[#This Row],[manDataEco]]&gt;0,Table15[[#This Row],[manDataEco]],Table15[[#This Row],[rawDataEco]])</f>
        <v>529.85283422459895</v>
      </c>
      <c r="H21" s="18">
        <f>1.36*Table15[[#This Row],[rpm]]*Table15[[#This Row],[motor]]/9550</f>
        <v>143.36541608757733</v>
      </c>
      <c r="I21" s="18">
        <f>1.36*Table15[[#This Row],[rpm]]*Table15[[#This Row],[motorEco]]/9550</f>
        <v>143.36541608757733</v>
      </c>
      <c r="J2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250.13527575442248</v>
      </c>
      <c r="K2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motorTorque="530" fuelUsageRatio="250.1"/&gt;</v>
      </c>
      <c r="L21" s="7" t="str">
        <f>IF(Table15[[#This Row],[rpm]]&lt;1,Table7[xmlComment],IF(A20&gt;Table36[normRpm],"",IF(Table15[[#This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normRpm="0.864" torque="0.919"/&gt;</v>
      </c>
      <c r="M21" s="3">
        <f>(1-(1-Table15[[#This Row],[rpm]]/Table36[idleRpm])^2)*Table7[idleT]</f>
        <v>-257.95294117647063</v>
      </c>
      <c r="N21" s="3">
        <f>MAX(0,(1-Table7[f1]*(Table36[maxTRpm1]-Table15[[#This Row],[rpm]])^2)*Table36[maxT])</f>
        <v>528.31562500000007</v>
      </c>
      <c r="O21" s="3">
        <f>MAX(0,(Table36[linearDown]*(1-Table7[f2]*(Table15[[#This Row],[rpm]]-Table36[maxTRpm]))+(1-Table36[linearDown])*(1-Table7[f3]*(Table15[[#This Row],[rpm]]-Table36[maxTRpm])^2))*Table36[maxT])</f>
        <v>529.85283422459895</v>
      </c>
      <c r="P21" s="3">
        <f>MAX(0,(Table36[maxPS]-Table7[f4]*(Table15[[#This Row],[rpm]]-Table36[maxPRpm])^2)/1.36*9550/MAX(1,Table15[[#This Row],[rpm]]))</f>
        <v>554.37306501547982</v>
      </c>
      <c r="Q21" s="3">
        <f>MAX(0,Table7[Nm2]*MIN(Table36[ratedRpm]/MAX(1,Table15[[#This Row],[rpm]]),1-(MAX(0,Table15[[#This Row],[rpm]]-Table36[ratedRpm])/Table36[fadeOut])^Table36[fadeOutExp]))</f>
        <v>478.77673796791436</v>
      </c>
      <c r="R21" s="3">
        <f>(1-(1-Table15[[#This Row],[rpm]]/Table36[idleRpm])^2)*Table7[idleTEco]</f>
        <v>-257.95294117647063</v>
      </c>
      <c r="S21" s="3">
        <f>MAX(0,(1-Table7[f1]*(Table36[maxTRpm1]-Table15[[#This Row],[rpm]])^2)*Table36[maxTEco])</f>
        <v>528.31562500000007</v>
      </c>
      <c r="T21" s="3">
        <f>MAX(0,(Table36[linearDown]*(1-Table7[f2Eco]*(Table15[[#This Row],[rpm]]-Table36[maxTRpm]))+(1-Table36[linearDown])*(1-Table7[f3Eco]*(Table15[[#This Row],[rpm]]-Table36[maxTRpm])^2))*Table36[maxTEco])</f>
        <v>529.85283422459895</v>
      </c>
      <c r="U21" s="3">
        <f>MAX(0,(Table36[maxPSEco]-Table7[f4Eco]*(Table15[[#This Row],[rpm]]-Table36[maxPRpm])^2)/1.36*9550/MAX(1,Table15[[#This Row],[rpm]]))</f>
        <v>554.37306501547982</v>
      </c>
      <c r="V21" s="3">
        <f>MAX(0,Table7[Nm2Eco]*MIN(Table36[ratedRpm]/MAX(1,Table15[[#This Row],[rpm]]),1-(MAX(0,Table15[[#This Row],[rpm]]-Table36[ratedRpm])/Table36[fadeOut])^Table36[fadeOutExp]))</f>
        <v>478.77673796791436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552.8611384745285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552.8611384745285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522.43152109328582</v>
      </c>
      <c r="C22" s="13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522.43152109328582</v>
      </c>
      <c r="E22" s="13"/>
      <c r="F22" s="3">
        <f>Table36[Factor]*IF(Table15[[#This Row],[manualData]]&gt;0,Table15[[#This Row],[manualData]],Table15[[#This Row],[rawData]])</f>
        <v>522.43152109328582</v>
      </c>
      <c r="G22" s="3">
        <f>Table36[Factor]*IF(Table15[[#This Row],[manDataEco]]&gt;0,Table15[[#This Row],[manDataEco]],Table15[[#This Row],[rawDataEco]])</f>
        <v>522.43152109328582</v>
      </c>
      <c r="H22" s="18">
        <f>1.36*Table15[[#This Row],[rpm]]*Table15[[#This Row],[motor]]/9550</f>
        <v>145.07731873710932</v>
      </c>
      <c r="I22" s="18">
        <f>1.36*Table15[[#This Row],[rpm]]*Table15[[#This Row],[motorEco]]/9550</f>
        <v>145.07731873710932</v>
      </c>
      <c r="J2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252.13794786809009</v>
      </c>
      <c r="K2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motorTorque="522" fuelUsageRatio="252.1"/&gt;</v>
      </c>
      <c r="L22" s="7" t="str">
        <f>IF(Table15[[#This Row],[rpm]]&lt;1,Table7[xmlComment],IF(A21&gt;Table36[normRpm],"",IF(Table15[[#This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normRpm="0.886" torque="0.906"/&gt;</v>
      </c>
      <c r="M22" s="3">
        <f>(1-(1-Table15[[#This Row],[rpm]]/Table36[idleRpm])^2)*Table7[idleT]</f>
        <v>-330.92647058823513</v>
      </c>
      <c r="N22" s="3">
        <f>MAX(0,(1-Table7[f1]*(Table36[maxTRpm1]-Table15[[#This Row],[rpm]])^2)*Table36[maxT])</f>
        <v>516.89583333333326</v>
      </c>
      <c r="O22" s="3">
        <f>MAX(0,(Table36[linearDown]*(1-Table7[f2]*(Table15[[#This Row],[rpm]]-Table36[maxTRpm]))+(1-Table36[linearDown])*(1-Table7[f3]*(Table15[[#This Row],[rpm]]-Table36[maxTRpm])^2))*Table36[maxT])</f>
        <v>522.43152109328582</v>
      </c>
      <c r="P22" s="3">
        <f>MAX(0,(Table36[maxPS]-Table7[f4]*(Table15[[#This Row],[rpm]]-Table36[maxPRpm])^2)/1.36*9550/MAX(1,Table15[[#This Row],[rpm]]))</f>
        <v>540.15837104072386</v>
      </c>
      <c r="Q22" s="3">
        <f>MAX(0,Table7[Nm2]*MIN(Table36[ratedRpm]/MAX(1,Table15[[#This Row],[rpm]]),1-(MAX(0,Table15[[#This Row],[rpm]]-Table36[ratedRpm])/Table36[fadeOut])^Table36[fadeOutExp]))</f>
        <v>478.77673796791436</v>
      </c>
      <c r="R22" s="3">
        <f>(1-(1-Table15[[#This Row],[rpm]]/Table36[idleRpm])^2)*Table7[idleTEco]</f>
        <v>-330.92647058823513</v>
      </c>
      <c r="S22" s="3">
        <f>MAX(0,(1-Table7[f1]*(Table36[maxTRpm1]-Table15[[#This Row],[rpm]])^2)*Table36[maxTEco])</f>
        <v>516.89583333333326</v>
      </c>
      <c r="T22" s="3">
        <f>MAX(0,(Table36[linearDown]*(1-Table7[f2Eco]*(Table15[[#This Row],[rpm]]-Table36[maxTRpm]))+(1-Table36[linearDown])*(1-Table7[f3Eco]*(Table15[[#This Row],[rpm]]-Table36[maxTRpm])^2))*Table36[maxTEco])</f>
        <v>522.43152109328582</v>
      </c>
      <c r="U22" s="3">
        <f>MAX(0,(Table36[maxPSEco]-Table7[f4Eco]*(Table15[[#This Row],[rpm]]-Table36[maxPRpm])^2)/1.36*9550/MAX(1,Table15[[#This Row],[rpm]]))</f>
        <v>540.15837104072386</v>
      </c>
      <c r="V22" s="3">
        <f>MAX(0,Table7[Nm2Eco]*MIN(Table36[ratedRpm]/MAX(1,Table15[[#This Row],[rpm]]),1-(MAX(0,Table15[[#This Row],[rpm]]-Table36[ratedRpm])/Table36[fadeOut])^Table36[fadeOutExp]))</f>
        <v>478.77673796791436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538.93073837926772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538.93073837926772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514.57366013071896</v>
      </c>
      <c r="C23" s="13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514.57366013071896</v>
      </c>
      <c r="E23" s="13"/>
      <c r="F23" s="3">
        <f>Table36[Factor]*IF(Table15[[#This Row],[manualData]]&gt;0,Table15[[#This Row],[manualData]],Table15[[#This Row],[rawData]])</f>
        <v>514.57366013071896</v>
      </c>
      <c r="G23" s="3">
        <f>Table36[Factor]*IF(Table15[[#This Row],[manDataEco]]&gt;0,Table15[[#This Row],[manDataEco]],Table15[[#This Row],[rawDataEco]])</f>
        <v>514.57366013071896</v>
      </c>
      <c r="H23" s="18">
        <f>1.36*Table15[[#This Row],[rpm]]*Table15[[#This Row],[motor]]/9550</f>
        <v>146.55919953461316</v>
      </c>
      <c r="I23" s="18">
        <f>1.36*Table15[[#This Row],[rpm]]*Table15[[#This Row],[motorEco]]/9550</f>
        <v>146.55919953461316</v>
      </c>
      <c r="J2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254.29349571562545</v>
      </c>
      <c r="K2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motorTorque="515" fuelUsageRatio="254.3"/&gt;</v>
      </c>
      <c r="L23" s="7" t="str">
        <f>IF(Table15[[#This Row],[rpm]]&lt;1,Table7[xmlComment],IF(A22&gt;Table36[normRpm],"",IF(Table15[[#This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normRpm="0.909" torque="0.893"/&gt;</v>
      </c>
      <c r="M23" s="3">
        <f>(1-(1-Table15[[#This Row],[rpm]]/Table36[idleRpm])^2)*Table7[idleT]</f>
        <v>-407.29411764705895</v>
      </c>
      <c r="N23" s="3">
        <f>MAX(0,(1-Table7[f1]*(Table36[maxTRpm1]-Table15[[#This Row],[rpm]])^2)*Table36[maxT])</f>
        <v>504.27395833333333</v>
      </c>
      <c r="O23" s="3">
        <f>MAX(0,(Table36[linearDown]*(1-Table7[f2]*(Table15[[#This Row],[rpm]]-Table36[maxTRpm]))+(1-Table36[linearDown])*(1-Table7[f3]*(Table15[[#This Row],[rpm]]-Table36[maxTRpm])^2))*Table36[maxT])</f>
        <v>514.57366013071896</v>
      </c>
      <c r="P23" s="3">
        <f>MAX(0,(Table36[maxPS]-Table7[f4]*(Table15[[#This Row],[rpm]]-Table36[maxPRpm])^2)/1.36*9550/MAX(1,Table15[[#This Row],[rpm]]))</f>
        <v>526.65441176470574</v>
      </c>
      <c r="Q23" s="3">
        <f>MAX(0,Table7[Nm2]*MIN(Table36[ratedRpm]/MAX(1,Table15[[#This Row],[rpm]]),1-(MAX(0,Table15[[#This Row],[rpm]]-Table36[ratedRpm])/Table36[fadeOut])^Table36[fadeOutExp]))</f>
        <v>478.77673796791436</v>
      </c>
      <c r="R23" s="3">
        <f>(1-(1-Table15[[#This Row],[rpm]]/Table36[idleRpm])^2)*Table7[idleTEco]</f>
        <v>-407.29411764705895</v>
      </c>
      <c r="S23" s="3">
        <f>MAX(0,(1-Table7[f1]*(Table36[maxTRpm1]-Table15[[#This Row],[rpm]])^2)*Table36[maxTEco])</f>
        <v>504.27395833333333</v>
      </c>
      <c r="T23" s="3">
        <f>MAX(0,(Table36[linearDown]*(1-Table7[f2Eco]*(Table15[[#This Row],[rpm]]-Table36[maxTRpm]))+(1-Table36[linearDown])*(1-Table7[f3Eco]*(Table15[[#This Row],[rpm]]-Table36[maxTRpm])^2))*Table36[maxTEco])</f>
        <v>514.57366013071896</v>
      </c>
      <c r="U23" s="3">
        <f>MAX(0,(Table36[maxPSEco]-Table7[f4Eco]*(Table15[[#This Row],[rpm]]-Table36[maxPRpm])^2)/1.36*9550/MAX(1,Table15[[#This Row],[rpm]]))</f>
        <v>526.65441176470574</v>
      </c>
      <c r="V23" s="3">
        <f>MAX(0,Table7[Nm2Eco]*MIN(Table36[ratedRpm]/MAX(1,Table15[[#This Row],[rpm]]),1-(MAX(0,Table15[[#This Row],[rpm]]-Table36[ratedRpm])/Table36[fadeOut])^Table36[fadeOutExp]))</f>
        <v>478.77673796791436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525.69685828876982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525.69685828876982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506.27925133689837</v>
      </c>
      <c r="C24" s="13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506.27925133689837</v>
      </c>
      <c r="E24" s="13"/>
      <c r="F24" s="3">
        <f>Table36[Factor]*IF(Table15[[#This Row],[manualData]]&gt;0,Table15[[#This Row],[manualData]],Table15[[#This Row],[rawData]])</f>
        <v>506.27925133689837</v>
      </c>
      <c r="G24" s="3">
        <f>Table36[Factor]*IF(Table15[[#This Row],[manDataEco]]&gt;0,Table15[[#This Row],[manDataEco]],Table15[[#This Row],[rawDataEco]])</f>
        <v>506.27925133689837</v>
      </c>
      <c r="H24" s="18">
        <f>1.36*Table15[[#This Row],[rpm]]*Table15[[#This Row],[motor]]/9550</f>
        <v>147.80173326987148</v>
      </c>
      <c r="I24" s="18">
        <f>1.36*Table15[[#This Row],[rpm]]*Table15[[#This Row],[motorEco]]/9550</f>
        <v>147.80173326987148</v>
      </c>
      <c r="J2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256.60191929702859</v>
      </c>
      <c r="K2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motorTorque="506" fuelUsageRatio="256.6"/&gt;</v>
      </c>
      <c r="L24" s="7" t="str">
        <f>IF(Table15[[#This Row],[rpm]]&lt;1,Table7[xmlComment],IF(A23&gt;Table36[normRpm],"",IF(Table15[[#This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normRpm="0.932" torque="0.878"/&gt;</v>
      </c>
      <c r="M24" s="3">
        <f>(1-(1-Table15[[#This Row],[rpm]]/Table36[idleRpm])^2)*Table7[idleT]</f>
        <v>-487.05588235294101</v>
      </c>
      <c r="N24" s="3">
        <f>MAX(0,(1-Table7[f1]*(Table36[maxTRpm1]-Table15[[#This Row],[rpm]])^2)*Table36[maxT])</f>
        <v>490.45</v>
      </c>
      <c r="O24" s="3">
        <f>MAX(0,(Table36[linearDown]*(1-Table7[f2]*(Table15[[#This Row],[rpm]]-Table36[maxTRpm]))+(1-Table36[linearDown])*(1-Table7[f3]*(Table15[[#This Row],[rpm]]-Table36[maxTRpm])^2))*Table36[maxT])</f>
        <v>506.27925133689837</v>
      </c>
      <c r="P24" s="3">
        <f>MAX(0,(Table36[maxPS]-Table7[f4]*(Table15[[#This Row],[rpm]]-Table36[maxPRpm])^2)/1.36*9550/MAX(1,Table15[[#This Row],[rpm]]))</f>
        <v>513.8091822094691</v>
      </c>
      <c r="Q24" s="3">
        <f>MAX(0,Table7[Nm2]*MIN(Table36[ratedRpm]/MAX(1,Table15[[#This Row],[rpm]]),1-(MAX(0,Table15[[#This Row],[rpm]]-Table36[ratedRpm])/Table36[fadeOut])^Table36[fadeOutExp]))</f>
        <v>478.77673796791436</v>
      </c>
      <c r="R24" s="3">
        <f>(1-(1-Table15[[#This Row],[rpm]]/Table36[idleRpm])^2)*Table7[idleTEco]</f>
        <v>-487.05588235294101</v>
      </c>
      <c r="S24" s="3">
        <f>MAX(0,(1-Table7[f1]*(Table36[maxTRpm1]-Table15[[#This Row],[rpm]])^2)*Table36[maxTEco])</f>
        <v>490.45</v>
      </c>
      <c r="T24" s="3">
        <f>MAX(0,(Table36[linearDown]*(1-Table7[f2Eco]*(Table15[[#This Row],[rpm]]-Table36[maxTRpm]))+(1-Table36[linearDown])*(1-Table7[f3Eco]*(Table15[[#This Row],[rpm]]-Table36[maxTRpm])^2))*Table36[maxTEco])</f>
        <v>506.27925133689837</v>
      </c>
      <c r="U24" s="3">
        <f>MAX(0,(Table36[maxPSEco]-Table7[f4Eco]*(Table15[[#This Row],[rpm]]-Table36[maxPRpm])^2)/1.36*9550/MAX(1,Table15[[#This Row],[rpm]]))</f>
        <v>513.8091822094691</v>
      </c>
      <c r="V24" s="3">
        <f>MAX(0,Table7[Nm2Eco]*MIN(Table36[ratedRpm]/MAX(1,Table15[[#This Row],[rpm]]),1-(MAX(0,Table15[[#This Row],[rpm]]-Table36[ratedRpm])/Table36[fadeOut])^Table36[fadeOutExp]))</f>
        <v>478.77673796791436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513.10853332463796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513.10853332463796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497.54829471182404</v>
      </c>
      <c r="C25" s="13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497.54829471182404</v>
      </c>
      <c r="E25" s="13"/>
      <c r="F25" s="3">
        <f>Table36[Factor]*IF(Table15[[#This Row],[manualData]]&gt;0,Table15[[#This Row],[manualData]],Table15[[#This Row],[rawData]])</f>
        <v>497.54829471182404</v>
      </c>
      <c r="G25" s="3">
        <f>Table36[Factor]*IF(Table15[[#This Row],[manDataEco]]&gt;0,Table15[[#This Row],[manDataEco]],Table15[[#This Row],[rawDataEco]])</f>
        <v>497.54829471182404</v>
      </c>
      <c r="H25" s="18">
        <f>1.36*Table15[[#This Row],[rpm]]*Table15[[#This Row],[motor]]/9550</f>
        <v>148.79559473266696</v>
      </c>
      <c r="I25" s="18">
        <f>1.36*Table15[[#This Row],[rpm]]*Table15[[#This Row],[motorEco]]/9550</f>
        <v>148.79559473266696</v>
      </c>
      <c r="J2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259.06321861229947</v>
      </c>
      <c r="K2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motorTorque="498" fuelUsageRatio="259.1"/&gt;</v>
      </c>
      <c r="L25" s="7" t="str">
        <f>IF(Table15[[#This Row],[rpm]]&lt;1,Table7[xmlComment],IF(A24&gt;Table36[normRpm],"",IF(Table15[[#This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normRpm="0.955" torque="0.863"/&gt;</v>
      </c>
      <c r="M25" s="3">
        <f>(1-(1-Table15[[#This Row],[rpm]]/Table36[idleRpm])^2)*Table7[idleT]</f>
        <v>-570.21176470588262</v>
      </c>
      <c r="N25" s="3">
        <f>MAX(0,(1-Table7[f1]*(Table36[maxTRpm1]-Table15[[#This Row],[rpm]])^2)*Table36[maxT])</f>
        <v>475.42395833333336</v>
      </c>
      <c r="O25" s="3">
        <f>MAX(0,(Table36[linearDown]*(1-Table7[f2]*(Table15[[#This Row],[rpm]]-Table36[maxTRpm]))+(1-Table36[linearDown])*(1-Table7[f3]*(Table15[[#This Row],[rpm]]-Table36[maxTRpm])^2))*Table36[maxT])</f>
        <v>497.54829471182404</v>
      </c>
      <c r="P25" s="3">
        <f>MAX(0,(Table36[maxPS]-Table7[f4]*(Table15[[#This Row],[rpm]]-Table36[maxPRpm])^2)/1.36*9550/MAX(1,Table15[[#This Row],[rpm]]))</f>
        <v>501.57563025210072</v>
      </c>
      <c r="Q25" s="3">
        <f>MAX(0,Table7[Nm2]*MIN(Table36[ratedRpm]/MAX(1,Table15[[#This Row],[rpm]]),1-(MAX(0,Table15[[#This Row],[rpm]]-Table36[ratedRpm])/Table36[fadeOut])^Table36[fadeOutExp]))</f>
        <v>478.77673796791436</v>
      </c>
      <c r="R25" s="3">
        <f>(1-(1-Table15[[#This Row],[rpm]]/Table36[idleRpm])^2)*Table7[idleTEco]</f>
        <v>-570.21176470588262</v>
      </c>
      <c r="S25" s="3">
        <f>MAX(0,(1-Table7[f1]*(Table36[maxTRpm1]-Table15[[#This Row],[rpm]])^2)*Table36[maxTEco])</f>
        <v>475.42395833333336</v>
      </c>
      <c r="T25" s="3">
        <f>MAX(0,(Table36[linearDown]*(1-Table7[f2Eco]*(Table15[[#This Row],[rpm]]-Table36[maxTRpm]))+(1-Table36[linearDown])*(1-Table7[f3Eco]*(Table15[[#This Row],[rpm]]-Table36[maxTRpm])^2))*Table36[maxTEco])</f>
        <v>497.54829471182404</v>
      </c>
      <c r="U25" s="3">
        <f>MAX(0,(Table36[maxPSEco]-Table7[f4Eco]*(Table15[[#This Row],[rpm]]-Table36[maxPRpm])^2)/1.36*9550/MAX(1,Table15[[#This Row],[rpm]]))</f>
        <v>501.57563025210072</v>
      </c>
      <c r="V25" s="3">
        <f>MAX(0,Table7[Nm2Eco]*MIN(Table36[ratedRpm]/MAX(1,Table15[[#This Row],[rpm]]),1-(MAX(0,Table15[[#This Row],[rpm]]-Table36[ratedRpm])/Table36[fadeOut])^Table36[fadeOutExp]))</f>
        <v>478.77673796791436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501.11965240641695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501.11965240641695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488.38079025549604</v>
      </c>
      <c r="C26" s="13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488.38079025549604</v>
      </c>
      <c r="E26" s="13"/>
      <c r="F26" s="3">
        <f>Table36[Factor]*IF(Table15[[#This Row],[manualData]]&gt;0,Table15[[#This Row],[manualData]],Table15[[#This Row],[rawData]])</f>
        <v>488.38079025549604</v>
      </c>
      <c r="G26" s="3">
        <f>Table36[Factor]*IF(Table15[[#This Row],[manDataEco]]&gt;0,Table15[[#This Row],[manDataEco]],Table15[[#This Row],[rawDataEco]])</f>
        <v>488.38079025549604</v>
      </c>
      <c r="H26" s="18">
        <f>1.36*Table15[[#This Row],[rpm]]*Table15[[#This Row],[motor]]/9550</f>
        <v>149.53145871278224</v>
      </c>
      <c r="I26" s="18">
        <f>1.36*Table15[[#This Row],[rpm]]*Table15[[#This Row],[motorEco]]/9550</f>
        <v>149.53145871278224</v>
      </c>
      <c r="J2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261.67739366143809</v>
      </c>
      <c r="K2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motorTorque="488" fuelUsageRatio="261.7"/&gt;</v>
      </c>
      <c r="L26" s="7" t="str">
        <f>IF(Table15[[#This Row],[rpm]]&lt;1,Table7[xmlComment],IF(A25&gt;Table36[normRpm],"",IF(Table15[[#This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normRpm="0.977" torque="0.847"/&gt;</v>
      </c>
      <c r="M26" s="3">
        <f>(1-(1-Table15[[#This Row],[rpm]]/Table36[idleRpm])^2)*Table7[idleT]</f>
        <v>-656.76176470588223</v>
      </c>
      <c r="N26" s="3">
        <f>MAX(0,(1-Table7[f1]*(Table36[maxTRpm1]-Table15[[#This Row],[rpm]])^2)*Table36[maxT])</f>
        <v>459.19583333333333</v>
      </c>
      <c r="O26" s="3">
        <f>MAX(0,(Table36[linearDown]*(1-Table7[f2]*(Table15[[#This Row],[rpm]]-Table36[maxTRpm]))+(1-Table36[linearDown])*(1-Table7[f3]*(Table15[[#This Row],[rpm]]-Table36[maxTRpm])^2))*Table36[maxT])</f>
        <v>488.38079025549604</v>
      </c>
      <c r="P26" s="3">
        <f>MAX(0,(Table36[maxPS]-Table7[f4]*(Table15[[#This Row],[rpm]]-Table36[maxPRpm])^2)/1.36*9550/MAX(1,Table15[[#This Row],[rpm]]))</f>
        <v>489.9110807113542</v>
      </c>
      <c r="Q26" s="3">
        <f>MAX(0,Table7[Nm2]*MIN(Table36[ratedRpm]/MAX(1,Table15[[#This Row],[rpm]]),1-(MAX(0,Table15[[#This Row],[rpm]]-Table36[ratedRpm])/Table36[fadeOut])^Table36[fadeOutExp]))</f>
        <v>478.77673796791436</v>
      </c>
      <c r="R26" s="3">
        <f>(1-(1-Table15[[#This Row],[rpm]]/Table36[idleRpm])^2)*Table7[idleTEco]</f>
        <v>-656.76176470588223</v>
      </c>
      <c r="S26" s="3">
        <f>MAX(0,(1-Table7[f1]*(Table36[maxTRpm1]-Table15[[#This Row],[rpm]])^2)*Table36[maxTEco])</f>
        <v>459.19583333333333</v>
      </c>
      <c r="T26" s="3">
        <f>MAX(0,(Table36[linearDown]*(1-Table7[f2Eco]*(Table15[[#This Row],[rpm]]-Table36[maxTRpm]))+(1-Table36[linearDown])*(1-Table7[f3Eco]*(Table15[[#This Row],[rpm]]-Table36[maxTRpm])^2))*Table36[maxTEco])</f>
        <v>488.38079025549604</v>
      </c>
      <c r="U26" s="3">
        <f>MAX(0,(Table36[maxPSEco]-Table7[f4Eco]*(Table15[[#This Row],[rpm]]-Table36[maxPRpm])^2)/1.36*9550/MAX(1,Table15[[#This Row],[rpm]]))</f>
        <v>489.9110807113542</v>
      </c>
      <c r="V26" s="3">
        <f>MAX(0,Table7[Nm2Eco]*MIN(Table36[ratedRpm]/MAX(1,Table15[[#This Row],[rpm]]),1-(MAX(0,Table15[[#This Row],[rpm]]-Table36[ratedRpm])/Table36[fadeOut])^Table36[fadeOutExp]))</f>
        <v>478.77673796791436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489.68839385648539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489.68839385648539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478.77673796791436</v>
      </c>
      <c r="C27" s="13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478.77673796791436</v>
      </c>
      <c r="E27" s="13"/>
      <c r="F27" s="3">
        <f>Table36[Factor]*IF(Table15[[#This Row],[manualData]]&gt;0,Table15[[#This Row],[manualData]],Table15[[#This Row],[rawData]])</f>
        <v>478.77673796791436</v>
      </c>
      <c r="G27" s="3">
        <f>Table36[Factor]*IF(Table15[[#This Row],[manDataEco]]&gt;0,Table15[[#This Row],[manDataEco]],Table15[[#This Row],[rawDataEco]])</f>
        <v>478.77673796791436</v>
      </c>
      <c r="H27" s="3">
        <f>1.36*Table15[[#This Row],[rpm]]*Table15[[#This Row],[motor]]/9550</f>
        <v>149.99999999999997</v>
      </c>
      <c r="I27" s="3">
        <f>1.36*Table15[[#This Row],[rpm]]*Table15[[#This Row],[motorEco]]/9550</f>
        <v>149.99999999999997</v>
      </c>
      <c r="J2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264.44444444444446</v>
      </c>
      <c r="K2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motorTorque="479" fuelUsageRatio="264.4"/&gt;</v>
      </c>
      <c r="L27" s="7" t="str">
        <f>IF(Table15[[#This Row],[rpm]]&lt;1,Table7[xmlComment],IF(A26&gt;Table36[normRpm],"",IF(Table15[[#This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normRpm="0.999" torque="0.831"/&gt;</v>
      </c>
      <c r="M27" s="3">
        <f>(1-(1-Table15[[#This Row],[rpm]]/Table36[idleRpm])^2)*Table7[idleT]</f>
        <v>-746.70588235294133</v>
      </c>
      <c r="N27" s="3">
        <f>MAX(0,(1-Table7[f1]*(Table36[maxTRpm1]-Table15[[#This Row],[rpm]])^2)*Table36[maxT])</f>
        <v>441.765625</v>
      </c>
      <c r="O27" s="3">
        <f>MAX(0,(Table36[linearDown]*(1-Table7[f2]*(Table15[[#This Row],[rpm]]-Table36[maxTRpm]))+(1-Table36[linearDown])*(1-Table7[f3]*(Table15[[#This Row],[rpm]]-Table36[maxTRpm])^2))*Table36[maxT])</f>
        <v>478.77673796791436</v>
      </c>
      <c r="P27" s="3">
        <f>MAX(0,(Table36[maxPS]-Table7[f4]*(Table15[[#This Row],[rpm]]-Table36[maxPRpm])^2)/1.36*9550/MAX(1,Table15[[#This Row],[rpm]]))</f>
        <v>478.77673796791436</v>
      </c>
      <c r="Q27" s="3">
        <f>MAX(0,Table7[Nm2]*MIN(Table36[ratedRpm]/MAX(1,Table15[[#This Row],[rpm]]),1-(MAX(0,Table15[[#This Row],[rpm]]-Table36[ratedRpm])/Table36[fadeOut])^Table36[fadeOutExp]))</f>
        <v>478.77673796791436</v>
      </c>
      <c r="R27" s="3">
        <f>(1-(1-Table15[[#This Row],[rpm]]/Table36[idleRpm])^2)*Table7[idleTEco]</f>
        <v>-746.70588235294133</v>
      </c>
      <c r="S27" s="3">
        <f>MAX(0,(1-Table7[f1]*(Table36[maxTRpm1]-Table15[[#This Row],[rpm]])^2)*Table36[maxTEco])</f>
        <v>441.765625</v>
      </c>
      <c r="T27" s="3">
        <f>MAX(0,(Table36[linearDown]*(1-Table7[f2Eco]*(Table15[[#This Row],[rpm]]-Table36[maxTRpm]))+(1-Table36[linearDown])*(1-Table7[f3Eco]*(Table15[[#This Row],[rpm]]-Table36[maxTRpm])^2))*Table36[maxTEco])</f>
        <v>478.77673796791436</v>
      </c>
      <c r="U27" s="3">
        <f>MAX(0,(Table36[maxPSEco]-Table7[f4Eco]*(Table15[[#This Row],[rpm]]-Table36[maxPRpm])^2)/1.36*9550/MAX(1,Table15[[#This Row],[rpm]]))</f>
        <v>478.77673796791436</v>
      </c>
      <c r="V27" s="3">
        <f>MAX(0,Table7[Nm2Eco]*MIN(Table36[ratedRpm]/MAX(1,Table15[[#This Row],[rpm]]),1-(MAX(0,Table15[[#This Row],[rpm]]-Table36[ratedRpm])/Table36[fadeOut])^Table36[fadeOutExp]))</f>
        <v>478.77673796791436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478.77673796791436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478.77673796791436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417.09771712383508</v>
      </c>
      <c r="C28" s="13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417.09771712383508</v>
      </c>
      <c r="E28" s="13"/>
      <c r="F28" s="3">
        <f>Table36[Factor]*IF(Table15[[#This Row],[manualData]]&gt;0,Table15[[#This Row],[manualData]],Table15[[#This Row],[rawData]])</f>
        <v>417.09771712383508</v>
      </c>
      <c r="G28" s="3">
        <f>Table36[Factor]*IF(Table15[[#This Row],[manDataEco]]&gt;0,Table15[[#This Row],[manDataEco]],Table15[[#This Row],[rawDataEco]])</f>
        <v>417.09771712383508</v>
      </c>
      <c r="H28" s="3">
        <f>1.36*Table15[[#This Row],[rpm]]*Table15[[#This Row],[motor]]/9550</f>
        <v>133.64597009412935</v>
      </c>
      <c r="I28" s="3">
        <f>1.36*Table15[[#This Row],[rpm]]*Table15[[#This Row],[motorEco]]/9550</f>
        <v>133.64597009412935</v>
      </c>
      <c r="J2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310.44846261500368</v>
      </c>
      <c r="K2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motorTorque="417" fuelUsageRatio="310.4"/&gt;</v>
      </c>
      <c r="L28" s="7" t="str">
        <f>IF(Table15[[#This Row],[rpm]]&lt;1,Table7[xmlComment],IF(A27&gt;Table36[normRpm],"",IF(Table15[[#This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normRpm="1" torque="0"/&gt;</v>
      </c>
      <c r="M28" s="3">
        <f>(1-(1-Table15[[#This Row],[rpm]]/Table36[idleRpm])^2)*Table7[idleT]</f>
        <v>-840.04411764705867</v>
      </c>
      <c r="N28" s="3">
        <f>MAX(0,(1-Table7[f1]*(Table36[maxTRpm1]-Table15[[#This Row],[rpm]])^2)*Table36[maxT])</f>
        <v>423.13333333333333</v>
      </c>
      <c r="O28" s="3">
        <f>MAX(0,(Table36[linearDown]*(1-Table7[f2]*(Table15[[#This Row],[rpm]]-Table36[maxTRpm]))+(1-Table36[linearDown])*(1-Table7[f3]*(Table15[[#This Row],[rpm]]-Table36[maxTRpm])^2))*Table36[maxT])</f>
        <v>468.73613784907889</v>
      </c>
      <c r="P28" s="3">
        <f>MAX(0,(Table36[maxPS]-Table7[f4]*(Table15[[#This Row],[rpm]]-Table36[maxPRpm])^2)/1.36*9550/MAX(1,Table15[[#This Row],[rpm]]))</f>
        <v>468.13725490196072</v>
      </c>
      <c r="Q28" s="3">
        <f>MAX(0,Table7[Nm2]*MIN(Table36[ratedRpm]/MAX(1,Table15[[#This Row],[rpm]]),1-(MAX(0,Table15[[#This Row],[rpm]]-Table36[ratedRpm])/Table36[fadeOut])^Table36[fadeOutExp]))</f>
        <v>417.09771712383508</v>
      </c>
      <c r="R28" s="3">
        <f>(1-(1-Table15[[#This Row],[rpm]]/Table36[idleRpm])^2)*Table7[idleTEco]</f>
        <v>-840.04411764705867</v>
      </c>
      <c r="S28" s="3">
        <f>MAX(0,(1-Table7[f1]*(Table36[maxTRpm1]-Table15[[#This Row],[rpm]])^2)*Table36[maxTEco])</f>
        <v>423.13333333333333</v>
      </c>
      <c r="T28" s="3">
        <f>MAX(0,(Table36[linearDown]*(1-Table7[f2Eco]*(Table15[[#This Row],[rpm]]-Table36[maxTRpm]))+(1-Table36[linearDown])*(1-Table7[f3Eco]*(Table15[[#This Row],[rpm]]-Table36[maxTRpm])^2))*Table36[maxTEco])</f>
        <v>468.73613784907889</v>
      </c>
      <c r="U28" s="3">
        <f>MAX(0,(Table36[maxPSEco]-Table7[f4Eco]*(Table15[[#This Row],[rpm]]-Table36[maxPRpm])^2)/1.36*9550/MAX(1,Table15[[#This Row],[rpm]]))</f>
        <v>468.13725490196072</v>
      </c>
      <c r="V28" s="3">
        <f>MAX(0,Table7[Nm2Eco]*MIN(Table36[ratedRpm]/MAX(1,Table15[[#This Row],[rpm]]),1-(MAX(0,Table15[[#This Row],[rpm]]-Table36[ratedRpm])/Table36[fadeOut])^Table36[fadeOutExp]))</f>
        <v>417.09771712383508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468.13725490196072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468.13725490196072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13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13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fuelUsageRatio="0"/&gt;</v>
      </c>
      <c r="L29" s="7" t="str">
        <f>IF(Table15[[#This Row],[rpm]]&lt;1,Table7[xmlComment],IF(A28&gt;Table36[normRpm],"",IF(Table15[[#This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29" s="3">
        <f>(1-(1-Table15[[#This Row],[rpm]]/Table36[idleRpm])^2)*Table7[idleT]</f>
        <v>-936.7764705882355</v>
      </c>
      <c r="N29" s="3">
        <f>MAX(0,(1-Table7[f1]*(Table36[maxTRpm1]-Table15[[#This Row],[rpm]])^2)*Table36[maxT])</f>
        <v>403.29895833333336</v>
      </c>
      <c r="O29" s="3">
        <f>MAX(0,(Table36[linearDown]*(1-Table7[f2]*(Table15[[#This Row],[rpm]]-Table36[maxTRpm]))+(1-Table36[linearDown])*(1-Table7[f3]*(Table15[[#This Row],[rpm]]-Table36[maxTRpm])^2))*Table36[maxT])</f>
        <v>458.2589898989898</v>
      </c>
      <c r="P29" s="3">
        <f>MAX(0,(Table36[maxPS]-Table7[f4]*(Table15[[#This Row],[rpm]]-Table36[maxPRpm])^2)/1.36*9550/MAX(1,Table15[[#This Row],[rpm]]))</f>
        <v>457.96035805626587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-936.7764705882355</v>
      </c>
      <c r="S29" s="3">
        <f>MAX(0,(1-Table7[f1]*(Table36[maxTRpm1]-Table15[[#This Row],[rpm]])^2)*Table36[maxTEco])</f>
        <v>403.29895833333336</v>
      </c>
      <c r="T29" s="3">
        <f>MAX(0,(Table36[linearDown]*(1-Table7[f2Eco]*(Table15[[#This Row],[rpm]]-Table36[maxTRpm]))+(1-Table36[linearDown])*(1-Table7[f3Eco]*(Table15[[#This Row],[rpm]]-Table36[maxTRpm])^2))*Table36[maxTEco])</f>
        <v>458.2589898989898</v>
      </c>
      <c r="U29" s="3">
        <f>MAX(0,(Table36[maxPSEco]-Table7[f4Eco]*(Table15[[#This Row],[rpm]]-Table36[maxPRpm])^2)/1.36*9550/MAX(1,Table15[[#This Row],[rpm]]))</f>
        <v>457.96035805626587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457.96035805626587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457.96035805626587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3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3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fuelUsageRatio="0"/&gt;</v>
      </c>
      <c r="L30" s="7" t="str">
        <f>IF(Table15[[#This Row],[rpm]]&lt;1,Table7[xmlComment],IF(A29&gt;Table36[normRpm],"",IF(Table15[[#This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0" s="3">
        <f>(1-(1-Table15[[#This Row],[rpm]]/Table36[idleRpm])^2)*Table7[idleT]</f>
        <v>-1036.9029411764704</v>
      </c>
      <c r="N30" s="3">
        <f>MAX(0,(1-Table7[f1]*(Table36[maxTRpm1]-Table15[[#This Row],[rpm]])^2)*Table36[maxT])</f>
        <v>382.26249999999999</v>
      </c>
      <c r="O30" s="3">
        <f>MAX(0,(Table36[linearDown]*(1-Table7[f2]*(Table15[[#This Row],[rpm]]-Table36[maxTRpm]))+(1-Table36[linearDown])*(1-Table7[f3]*(Table15[[#This Row],[rpm]]-Table36[maxTRpm])^2))*Table36[maxT])</f>
        <v>447.34529411764697</v>
      </c>
      <c r="P30" s="3">
        <f>MAX(0,(Table36[maxPS]-Table7[f4]*(Table15[[#This Row],[rpm]]-Table36[maxPRpm])^2)/1.36*9550/MAX(1,Table15[[#This Row],[rpm]]))</f>
        <v>448.21652065081344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-1036.9029411764704</v>
      </c>
      <c r="S30" s="3">
        <f>MAX(0,(1-Table7[f1]*(Table36[maxTRpm1]-Table15[[#This Row],[rpm]])^2)*Table36[maxTEco])</f>
        <v>382.26249999999999</v>
      </c>
      <c r="T30" s="3">
        <f>MAX(0,(Table36[linearDown]*(1-Table7[f2Eco]*(Table15[[#This Row],[rpm]]-Table36[maxTRpm]))+(1-Table36[linearDown])*(1-Table7[f3Eco]*(Table15[[#This Row],[rpm]]-Table36[maxTRpm])^2))*Table36[maxTEco])</f>
        <v>447.34529411764697</v>
      </c>
      <c r="U30" s="3">
        <f>MAX(0,(Table36[maxPSEco]-Table7[f4Eco]*(Table15[[#This Row],[rpm]]-Table36[maxPRpm])^2)/1.36*9550/MAX(1,Table15[[#This Row],[rpm]]))</f>
        <v>448.21652065081344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448.21652065081344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448.21652065081344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3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3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7" t="str">
        <f>IF(Table15[[#This Row],[rpm]]&lt;1,Table7[xmlComment],IF(A30&gt;Table36[normRpm],"",IF(Table15[[#This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1" s="3">
        <f>(1-(1-Table15[[#This Row],[rpm]]/Table36[idleRpm])^2)*Table7[idleT]</f>
        <v>-1140.423529411765</v>
      </c>
      <c r="N31" s="3">
        <f>MAX(0,(1-Table7[f1]*(Table36[maxTRpm1]-Table15[[#This Row],[rpm]])^2)*Table36[maxT])</f>
        <v>360.02395833333333</v>
      </c>
      <c r="O31" s="3">
        <f>MAX(0,(Table36[linearDown]*(1-Table7[f2]*(Table15[[#This Row],[rpm]]-Table36[maxTRpm]))+(1-Table36[linearDown])*(1-Table7[f3]*(Table15[[#This Row],[rpm]]-Table36[maxTRpm])^2))*Table36[maxT])</f>
        <v>435.99505050505041</v>
      </c>
      <c r="P31" s="3">
        <f>MAX(0,(Table36[maxPS]-Table7[f4]*(Table15[[#This Row],[rpm]]-Table36[maxPRpm])^2)/1.36*9550/MAX(1,Table15[[#This Row],[rpm]]))</f>
        <v>438.87867647058818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-1140.423529411765</v>
      </c>
      <c r="S31" s="3">
        <f>MAX(0,(1-Table7[f1]*(Table36[maxTRpm1]-Table15[[#This Row],[rpm]])^2)*Table36[maxTEco])</f>
        <v>360.02395833333333</v>
      </c>
      <c r="T31" s="3">
        <f>MAX(0,(Table36[linearDown]*(1-Table7[f2Eco]*(Table15[[#This Row],[rpm]]-Table36[maxTRpm]))+(1-Table36[linearDown])*(1-Table7[f3Eco]*(Table15[[#This Row],[rpm]]-Table36[maxTRpm])^2))*Table36[maxTEco])</f>
        <v>435.99505050505041</v>
      </c>
      <c r="U31" s="3">
        <f>MAX(0,(Table36[maxPSEco]-Table7[f4Eco]*(Table15[[#This Row],[rpm]]-Table36[maxPRpm])^2)/1.36*9550/MAX(1,Table15[[#This Row],[rpm]]))</f>
        <v>438.87867647058818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438.87867647058818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438.87867647058818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3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3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7" t="str">
        <f>IF(Table15[[#This Row],[rpm]]&lt;1,Table7[xmlComment],IF(A31&gt;Table36[normRpm],"",IF(Table15[[#This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2" s="3">
        <f>(1-(1-Table15[[#This Row],[rpm]]/Table36[idleRpm])^2)*Table7[idleT]</f>
        <v>-1247.3382352941176</v>
      </c>
      <c r="N32" s="3">
        <f>MAX(0,(1-Table7[f1]*(Table36[maxTRpm1]-Table15[[#This Row],[rpm]])^2)*Table36[maxT])</f>
        <v>336.58333333333331</v>
      </c>
      <c r="O32" s="3">
        <f>MAX(0,(Table36[linearDown]*(1-Table7[f2]*(Table15[[#This Row],[rpm]]-Table36[maxTRpm]))+(1-Table36[linearDown])*(1-Table7[f3]*(Table15[[#This Row],[rpm]]-Table36[maxTRpm])^2))*Table36[maxT])</f>
        <v>424.20825906120012</v>
      </c>
      <c r="P32" s="3">
        <f>MAX(0,(Table36[maxPS]-Table7[f4]*(Table15[[#This Row],[rpm]]-Table36[maxPRpm])^2)/1.36*9550/MAX(1,Table15[[#This Row],[rpm]]))</f>
        <v>429.92196878751491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-1247.3382352941176</v>
      </c>
      <c r="S32" s="3">
        <f>MAX(0,(1-Table7[f1]*(Table36[maxTRpm1]-Table15[[#This Row],[rpm]])^2)*Table36[maxTEco])</f>
        <v>336.58333333333331</v>
      </c>
      <c r="T32" s="3">
        <f>MAX(0,(Table36[linearDown]*(1-Table7[f2Eco]*(Table15[[#This Row],[rpm]]-Table36[maxTRpm]))+(1-Table36[linearDown])*(1-Table7[f3Eco]*(Table15[[#This Row],[rpm]]-Table36[maxTRpm])^2))*Table36[maxTEco])</f>
        <v>424.20825906120012</v>
      </c>
      <c r="U32" s="3">
        <f>MAX(0,(Table36[maxPSEco]-Table7[f4Eco]*(Table15[[#This Row],[rpm]]-Table36[maxPRpm])^2)/1.36*9550/MAX(1,Table15[[#This Row],[rpm]]))</f>
        <v>429.92196878751491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429.92196878751491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429.92196878751491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3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3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7" t="str">
        <f>IF(Table15[[#This Row],[rpm]]&lt;1,Table7[xmlComment],IF(A32&gt;Table36[normRpm],"",IF(Table15[[#This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3" s="3">
        <f>(1-(1-Table15[[#This Row],[rpm]]/Table36[idleRpm])^2)*Table7[idleT]</f>
        <v>-1357.6470588235297</v>
      </c>
      <c r="N33" s="3">
        <f>MAX(0,(1-Table7[f1]*(Table36[maxTRpm1]-Table15[[#This Row],[rpm]])^2)*Table36[maxT])</f>
        <v>311.94062499999995</v>
      </c>
      <c r="O33" s="3">
        <f>MAX(0,(Table36[linearDown]*(1-Table7[f2]*(Table15[[#This Row],[rpm]]-Table36[maxTRpm]))+(1-Table36[linearDown])*(1-Table7[f3]*(Table15[[#This Row],[rpm]]-Table36[maxTRpm])^2))*Table36[maxT])</f>
        <v>411.9849197860961</v>
      </c>
      <c r="P33" s="3">
        <f>MAX(0,(Table36[maxPS]-Table7[f4]*(Table15[[#This Row],[rpm]]-Table36[maxPRpm])^2)/1.36*9550/MAX(1,Table15[[#This Row],[rpm]]))</f>
        <v>421.32352941176464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-1357.6470588235297</v>
      </c>
      <c r="S33" s="3">
        <f>MAX(0,(1-Table7[f1]*(Table36[maxTRpm1]-Table15[[#This Row],[rpm]])^2)*Table36[maxTEco])</f>
        <v>311.94062499999995</v>
      </c>
      <c r="T33" s="3">
        <f>MAX(0,(Table36[linearDown]*(1-Table7[f2Eco]*(Table15[[#This Row],[rpm]]-Table36[maxTRpm]))+(1-Table36[linearDown])*(1-Table7[f3Eco]*(Table15[[#This Row],[rpm]]-Table36[maxTRpm])^2))*Table36[maxTEco])</f>
        <v>411.9849197860961</v>
      </c>
      <c r="U33" s="3">
        <f>MAX(0,(Table36[maxPSEco]-Table7[f4Eco]*(Table15[[#This Row],[rpm]]-Table36[maxPRpm])^2)/1.36*9550/MAX(1,Table15[[#This Row],[rpm]]))</f>
        <v>421.32352941176464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421.32352941176464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421.32352941176464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3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3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7" t="str">
        <f>IF(Table15[[#This Row],[rpm]]&lt;1,Table7[xmlComment],IF(A33&gt;Table36[normRpm],"",IF(Table15[[#This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4" s="3">
        <f>(1-(1-Table15[[#This Row],[rpm]]/Table36[idleRpm])^2)*Table7[idleT]</f>
        <v>-1471.35</v>
      </c>
      <c r="N34" s="3">
        <f>MAX(0,(1-Table7[f1]*(Table36[maxTRpm1]-Table15[[#This Row],[rpm]])^2)*Table36[maxT])</f>
        <v>286.0958333333333</v>
      </c>
      <c r="O34" s="3">
        <f>MAX(0,(Table36[linearDown]*(1-Table7[f2]*(Table15[[#This Row],[rpm]]-Table36[maxTRpm]))+(1-Table36[linearDown])*(1-Table7[f3]*(Table15[[#This Row],[rpm]]-Table36[maxTRpm])^2))*Table36[maxT])</f>
        <v>399.32503267973834</v>
      </c>
      <c r="P34" s="3">
        <f>MAX(0,(Table36[maxPS]-Table7[f4]*(Table15[[#This Row],[rpm]]-Table36[maxPRpm])^2)/1.36*9550/MAX(1,Table15[[#This Row],[rpm]]))</f>
        <v>413.06228373702413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-1471.35</v>
      </c>
      <c r="S34" s="3">
        <f>MAX(0,(1-Table7[f1]*(Table36[maxTRpm1]-Table15[[#This Row],[rpm]])^2)*Table36[maxTEco])</f>
        <v>286.0958333333333</v>
      </c>
      <c r="T34" s="3">
        <f>MAX(0,(Table36[linearDown]*(1-Table7[f2Eco]*(Table15[[#This Row],[rpm]]-Table36[maxTRpm]))+(1-Table36[linearDown])*(1-Table7[f3Eco]*(Table15[[#This Row],[rpm]]-Table36[maxTRpm])^2))*Table36[maxTEco])</f>
        <v>399.32503267973834</v>
      </c>
      <c r="U34" s="3">
        <f>MAX(0,(Table36[maxPSEco]-Table7[f4Eco]*(Table15[[#This Row],[rpm]]-Table36[maxPRpm])^2)/1.36*9550/MAX(1,Table15[[#This Row],[rpm]]))</f>
        <v>413.06228373702413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413.06228373702413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413.06228373702413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3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3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7" t="str">
        <f>IF(Table15[[#This Row],[rpm]]&lt;1,Table7[xmlComment],IF(A34&gt;Table36[normRpm],"",IF(Table15[[#This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5" s="3">
        <f>(1-(1-Table15[[#This Row],[rpm]]/Table36[idleRpm])^2)*Table7[idleT]</f>
        <v>-1588.4470588235288</v>
      </c>
      <c r="N35" s="3">
        <f>MAX(0,(1-Table7[f1]*(Table36[maxTRpm1]-Table15[[#This Row],[rpm]])^2)*Table36[maxT])</f>
        <v>259.0489583333333</v>
      </c>
      <c r="O35" s="3">
        <f>MAX(0,(Table36[linearDown]*(1-Table7[f2]*(Table15[[#This Row],[rpm]]-Table36[maxTRpm]))+(1-Table36[linearDown])*(1-Table7[f3]*(Table15[[#This Row],[rpm]]-Table36[maxTRpm])^2))*Table36[maxT])</f>
        <v>386.22859774212696</v>
      </c>
      <c r="P35" s="3">
        <f>MAX(0,(Table36[maxPS]-Table7[f4]*(Table15[[#This Row],[rpm]]-Table36[maxPRpm])^2)/1.36*9550/MAX(1,Table15[[#This Row],[rpm]]))</f>
        <v>405.11877828054293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-1588.4470588235288</v>
      </c>
      <c r="S35" s="3">
        <f>MAX(0,(1-Table7[f1]*(Table36[maxTRpm1]-Table15[[#This Row],[rpm]])^2)*Table36[maxTEco])</f>
        <v>259.0489583333333</v>
      </c>
      <c r="T35" s="3">
        <f>MAX(0,(Table36[linearDown]*(1-Table7[f2Eco]*(Table15[[#This Row],[rpm]]-Table36[maxTRpm]))+(1-Table36[linearDown])*(1-Table7[f3Eco]*(Table15[[#This Row],[rpm]]-Table36[maxTRpm])^2))*Table36[maxTEco])</f>
        <v>386.22859774212696</v>
      </c>
      <c r="U35" s="3">
        <f>MAX(0,(Table36[maxPSEco]-Table7[f4Eco]*(Table15[[#This Row],[rpm]]-Table36[maxPRpm])^2)/1.36*9550/MAX(1,Table15[[#This Row],[rpm]]))</f>
        <v>405.11877828054293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405.11877828054293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405.11877828054293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3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3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7" t="str">
        <f>IF(Table15[[#This Row],[rpm]]&lt;1,Table7[xmlComment],IF(A35&gt;Table36[normRpm],"",IF(Table15[[#This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6" s="3">
        <f>(1-(1-Table15[[#This Row],[rpm]]/Table36[idleRpm])^2)*Table7[idleT]</f>
        <v>-1708.9382352941177</v>
      </c>
      <c r="N36" s="3">
        <f>MAX(0,(1-Table7[f1]*(Table36[maxTRpm1]-Table15[[#This Row],[rpm]])^2)*Table36[maxT])</f>
        <v>230.79999999999995</v>
      </c>
      <c r="O36" s="3">
        <f>MAX(0,(Table36[linearDown]*(1-Table7[f2]*(Table15[[#This Row],[rpm]]-Table36[maxTRpm]))+(1-Table36[linearDown])*(1-Table7[f3]*(Table15[[#This Row],[rpm]]-Table36[maxTRpm])^2))*Table36[maxT])</f>
        <v>372.6956149732618</v>
      </c>
      <c r="P36" s="3">
        <f>MAX(0,(Table36[maxPS]-Table7[f4]*(Table15[[#This Row],[rpm]]-Table36[maxPRpm])^2)/1.36*9550/MAX(1,Table15[[#This Row],[rpm]]))</f>
        <v>397.47502774694777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-1708.9382352941177</v>
      </c>
      <c r="S36" s="3">
        <f>MAX(0,(1-Table7[f1]*(Table36[maxTRpm1]-Table15[[#This Row],[rpm]])^2)*Table36[maxTEco])</f>
        <v>230.79999999999995</v>
      </c>
      <c r="T36" s="3">
        <f>MAX(0,(Table36[linearDown]*(1-Table7[f2Eco]*(Table15[[#This Row],[rpm]]-Table36[maxTRpm]))+(1-Table36[linearDown])*(1-Table7[f3Eco]*(Table15[[#This Row],[rpm]]-Table36[maxTRpm])^2))*Table36[maxTEco])</f>
        <v>372.6956149732618</v>
      </c>
      <c r="U36" s="3">
        <f>MAX(0,(Table36[maxPSEco]-Table7[f4Eco]*(Table15[[#This Row],[rpm]]-Table36[maxPRpm])^2)/1.36*9550/MAX(1,Table15[[#This Row],[rpm]]))</f>
        <v>397.47502774694777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397.47502774694777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397.47502774694777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3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3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7" t="str">
        <f>IF(Table15[[#This Row],[rpm]]&lt;1,Table7[xmlComment],IF(A36&gt;Table36[normRpm],"",IF(Table15[[#This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7" s="3">
        <f>(1-(1-Table15[[#This Row],[rpm]]/Table36[idleRpm])^2)*Table7[idleT]</f>
        <v>-1960.1029411764707</v>
      </c>
      <c r="N37" s="3">
        <f>MAX(0,(1-Table7[f1]*(Table36[maxTRpm1]-Table15[[#This Row],[rpm]])^2)*Table36[maxT])</f>
        <v>170.6958333333333</v>
      </c>
      <c r="O37" s="3">
        <f>MAX(0,(Table36[linearDown]*(1-Table7[f2]*(Table15[[#This Row],[rpm]]-Table36[maxTRpm]))+(1-Table36[linearDown])*(1-Table7[f3]*(Table15[[#This Row],[rpm]]-Table36[maxTRpm])^2))*Table36[maxT])</f>
        <v>344.32000594177049</v>
      </c>
      <c r="P37" s="3">
        <f>MAX(0,(Table36[maxPS]-Table7[f4]*(Table15[[#This Row],[rpm]]-Table36[maxPRpm])^2)/1.36*9550/MAX(1,Table15[[#This Row],[rpm]]))</f>
        <v>383.02139037433147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-1960.1029411764707</v>
      </c>
      <c r="S37" s="3">
        <f>MAX(0,(1-Table7[f1]*(Table36[maxTRpm1]-Table15[[#This Row],[rpm]])^2)*Table36[maxTEco])</f>
        <v>170.6958333333333</v>
      </c>
      <c r="T37" s="3">
        <f>MAX(0,(Table36[linearDown]*(1-Table7[f2Eco]*(Table15[[#This Row],[rpm]]-Table36[maxTRpm]))+(1-Table36[linearDown])*(1-Table7[f3Eco]*(Table15[[#This Row],[rpm]]-Table36[maxTRpm])^2))*Table36[maxTEco])</f>
        <v>344.32000594177049</v>
      </c>
      <c r="U37" s="3">
        <f>MAX(0,(Table36[maxPSEco]-Table7[f4Eco]*(Table15[[#This Row],[rpm]]-Table36[maxPRpm])^2)/1.36*9550/MAX(1,Table15[[#This Row],[rpm]]))</f>
        <v>383.02139037433147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383.02139037433147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383.02139037433147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3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3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7" t="str">
        <f>IF(Table15[[#This Row],[rpm]]&lt;1,Table7[xmlComment],IF(A37&gt;Table36[normRpm],"",IF(Table15[[#This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8" s="3">
        <f>(1-(1-Table15[[#This Row],[rpm]]/Table36[idleRpm])^2)*Table7[idleT]</f>
        <v>-2647.411764705882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265.74139631610188</v>
      </c>
      <c r="P38" s="3">
        <f>MAX(0,(Table36[maxPS]-Table7[f4]*(Table15[[#This Row],[rpm]]-Table36[maxPRpm])^2)/1.36*9550/MAX(1,Table15[[#This Row],[rpm]]))</f>
        <v>351.10294117647055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-2647.411764705882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265.74139631610188</v>
      </c>
      <c r="U38" s="3">
        <f>MAX(0,(Table36[maxPSEco]-Table7[f4Eco]*(Table15[[#This Row],[rpm]]-Table36[maxPRpm])^2)/1.36*9550/MAX(1,Table15[[#This Row],[rpm]]))</f>
        <v>351.10294117647055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351.10294117647055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351.10294117647055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3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3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7" t="str">
        <f>IF(Table15[[#This Row],[rpm]]&lt;1,Table7[xmlComment],IF(A38&gt;Table36[normRpm],"",IF(Table15[[#This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9" s="3">
        <f>(1-(1-Table15[[#This Row],[rpm]]/Table36[idleRpm])^2)*Table7[idleT]</f>
        <v>-3419.5735294117653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176.24909090909054</v>
      </c>
      <c r="P39" s="3">
        <f>MAX(0,(Table36[maxPS]-Table7[f4]*(Table15[[#This Row],[rpm]]-Table36[maxPRpm])^2)/1.36*9550/MAX(1,Table15[[#This Row],[rpm]]))</f>
        <v>324.09502262443431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-3419.5735294117653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176.24909090909054</v>
      </c>
      <c r="U39" s="3">
        <f>MAX(0,(Table36[maxPSEco]-Table7[f4Eco]*(Table15[[#This Row],[rpm]]-Table36[maxPRpm])^2)/1.36*9550/MAX(1,Table15[[#This Row],[rpm]]))</f>
        <v>324.09502262443431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324.09502262443431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324.09502262443431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3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3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7" t="str">
        <f>IF(Table15[[#This Row],[rpm]]&lt;1,Table7[xmlComment],IF(A39&gt;Table36[normRpm],"",IF(Table15[[#This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0" s="3">
        <f>(1-(1-Table15[[#This Row],[rpm]]/Table36[idleRpm])^2)*Table7[idleT]</f>
        <v>-4276.5882352941162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75.843089720736359</v>
      </c>
      <c r="P40" s="3">
        <f>MAX(0,(Table36[maxPS]-Table7[f4]*(Table15[[#This Row],[rpm]]-Table36[maxPRpm])^2)/1.36*9550/MAX(1,Table15[[#This Row],[rpm]]))</f>
        <v>300.94537815126046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-4276.5882352941162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75.843089720736359</v>
      </c>
      <c r="U40" s="3">
        <f>MAX(0,(Table36[maxPSEco]-Table7[f4Eco]*(Table15[[#This Row],[rpm]]-Table36[maxPRpm])^2)/1.36*9550/MAX(1,Table15[[#This Row],[rpm]]))</f>
        <v>300.94537815126046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300.94537815126046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300.94537815126046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3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3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7" t="str">
        <f>IF(Table15[[#This Row],[rpm]]&lt;1,Table7[xmlComment],IF(A40&gt;Table36[normRpm],"",IF(Table15[[#This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1" s="3">
        <f>(1-(1-Table15[[#This Row],[rpm]]/Table36[idleRpm])^2)*Table7[idleT]</f>
        <v>-5218.4558823529414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280.88235294117641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-5218.4558823529414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280.88235294117641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280.88235294117641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280.88235294117641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3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7" t="str">
        <f>IF(Table15[[#This Row],[rpm]]&lt;1,Table7[xmlComment],IF(A41&gt;Table36[normRpm],"",IF(Table15[[#This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2" s="3">
        <f>(1-(1-Table15[[#This Row],[rpm]]/Table36[idleRpm])^2)*Table7[idleT]</f>
        <v>-6245.176470588236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263.32720588235287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-6245.176470588236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263.32720588235287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263.32720588235287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263.32720588235287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3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3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23" t="str">
        <f>IF(Table15[[#This Row],[rpm]]&lt;1,Table7[xmlComment],IF(A42&gt;Table36[normRpm],"",IF(Table15[[#This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3" s="3">
        <f>(1-(1-Table15[[#This Row],[rpm]]/Table36[idleRpm])^2)*Table7[idleT]</f>
        <v>-7356.75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247.83737024221449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-7356.75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247.83737024221449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247.83737024221449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247.83737024221449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3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3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23" t="str">
        <f>IF(Table15[[#This Row],[rpm]]&lt;1,Table7[xmlComment],IF(A43&gt;Table36[normRpm],"",IF(Table15[[#This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4" s="3">
        <f>(1-(1-Table15[[#This Row],[rpm]]/Table36[idleRpm])^2)*Table7[idleT]</f>
        <v>-8553.1764705882342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234.06862745098036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-8553.1764705882342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234.06862745098036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234.06862745098036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234.06862745098036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3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3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23" t="str">
        <f>IF(Table15[[#This Row],[rpm]]&lt;1,Table7[xmlComment],IF(A44&gt;Table36[normRpm],"",IF(Table15[[#This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5" s="3">
        <f>(1-(1-Table15[[#This Row],[rpm]]/Table36[idleRpm])^2)*Table7[idleT]</f>
        <v>-9834.4558823529405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221.74922600619192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-9834.4558823529405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221.74922600619192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221.74922600619192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221.74922600619192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3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3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23" t="str">
        <f>IF(Table15[[#This Row],[rpm]]&lt;1,Table7[xmlComment],IF(A45&gt;Table36[normRpm],"",IF(Table15[[#This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6" s="3">
        <f>(1-(1-Table15[[#This Row],[rpm]]/Table36[idleRpm])^2)*Table7[idleT]</f>
        <v>-11200.588235294119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210.66176470588232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-11200.588235294119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210.66176470588232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210.66176470588232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210.66176470588232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3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3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23" t="str">
        <f>IF(Table15[[#This Row],[rpm]]&lt;1,Table7[xmlComment],IF(A46&gt;Table36[normRpm],"",IF(Table15[[#This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7" s="3">
        <f>(1-(1-Table15[[#This Row],[rpm]]/Table36[idleRpm])^2)*Table7[idleT]</f>
        <v>-12651.573529411766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200.63025210084029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-12651.573529411766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200.63025210084029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200.63025210084029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200.63025210084029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3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3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23" t="str">
        <f>IF(Table15[[#This Row],[rpm]]&lt;1,Table7[xmlComment],IF(A47&gt;Table36[normRpm],"",IF(Table15[[#This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8" s="3">
        <f>(1-(1-Table15[[#This Row],[rpm]]/Table36[idleRpm])^2)*Table7[idleT]</f>
        <v>-14187.411764705883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191.51069518716574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-14187.411764705883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191.51069518716574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191.51069518716574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191.51069518716574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3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3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23" t="str">
        <f>IF(Table15[[#This Row],[rpm]]&lt;1,Table7[xmlComment],IF(A48&gt;Table36[normRpm],"",IF(Table15[[#This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9" s="3">
        <f>(1-(1-Table15[[#This Row],[rpm]]/Table36[idleRpm])^2)*Table7[idleT]</f>
        <v>-15808.10294117647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183.18414322250635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-15808.10294117647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183.18414322250635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183.18414322250635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183.18414322250635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3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3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23" t="str">
        <f>IF(Table15[[#This Row],[rpm]]&lt;1,Table7[xmlComment],IF(A49&gt;Table36[normRpm],"",IF(Table15[[#This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0" s="3">
        <f>(1-(1-Table15[[#This Row],[rpm]]/Table36[idleRpm])^2)*Table7[idleT]</f>
        <v>-17513.647058823528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175.55147058823528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-17513.647058823528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175.55147058823528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175.55147058823528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175.55147058823528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3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3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23" t="str">
        <f>IF(Table15[[#This Row],[rpm]]&lt;1,Table7[xmlComment],IF(A50&gt;Table36[normRpm],"",IF(Table15[[#This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1" s="3">
        <f>(1-(1-Table15[[#This Row],[rpm]]/Table36[idleRpm])^2)*Table7[idleT]</f>
        <v>-19304.044117647056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168.52941176470586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-19304.044117647056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168.52941176470586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168.52941176470586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168.52941176470586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3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3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23" t="str">
        <f>IF(Table15[[#This Row],[rpm]]&lt;1,Table7[xmlComment],IF(A51&gt;Table36[normRpm],"",IF(Table15[[#This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2" s="3">
        <f>(1-(1-Table15[[#This Row],[rpm]]/Table36[idleRpm])^2)*Table7[idleT]</f>
        <v>-21179.294117647063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162.04751131221715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-21179.294117647063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162.04751131221715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162.04751131221715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162.04751131221715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3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3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23" t="str">
        <f>IF(Table15[[#This Row],[rpm]]&lt;1,Table7[xmlComment],IF(A52&gt;Table36[normRpm],"",IF(Table15[[#This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3" s="3">
        <f>(1-(1-Table15[[#This Row],[rpm]]/Table36[idleRpm])^2)*Table7[idleT]</f>
        <v>-23139.397058823532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156.0457516339869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-23139.397058823532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156.0457516339869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156.0457516339869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156.0457516339869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3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3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23" t="str">
        <f>IF(Table15[[#This Row],[rpm]]&lt;1,Table7[xmlComment],IF(A53&gt;Table36[normRpm],"",IF(Table15[[#This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4" s="3">
        <f>(1-(1-Table15[[#This Row],[rpm]]/Table36[idleRpm])^2)*Table7[idleT]</f>
        <v>-25184.352941176461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150.47268907563023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-25184.352941176461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150.47268907563023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150.47268907563023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150.47268907563023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3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3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23" t="str">
        <f>IF(Table15[[#This Row],[rpm]]&lt;1,Table7[xmlComment],IF(A54&gt;Table36[normRpm],"",IF(Table15[[#This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5" s="3">
        <f>(1-(1-Table15[[#This Row],[rpm]]/Table36[idleRpm])^2)*Table7[idleT]</f>
        <v>-27314.161764705881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145.28397565922918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-27314.161764705881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145.28397565922918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145.28397565922918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145.28397565922918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3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3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23" t="str">
        <f>IF(Table15[[#This Row],[rpm]]&lt;1,Table7[xmlComment],IF(A55&gt;Table36[normRpm],"",IF(Table15[[#This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6" s="3">
        <f>(1-(1-Table15[[#This Row],[rpm]]/Table36[idleRpm])^2)*Table7[idleT]</f>
        <v>-29528.823529411769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140.4411764705882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-29528.823529411769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140.4411764705882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3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3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23" t="str">
        <f>IF(Table15[[#This Row],[rpm]]&lt;1,Table7[xmlComment],IF(A56&gt;Table36[normRpm],"",IF(Table15[[#This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7" s="3">
        <f>(1-(1-Table15[[#This Row],[rpm]]/Table36[idleRpm])^2)*Table7[idleT]</f>
        <v>-31828.338235294112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135.9108159392789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-31828.338235294112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135.9108159392789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135.9108159392789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135.9108159392789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3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3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23" t="str">
        <f>IF(Table15[[#This Row],[rpm]]&lt;1,Table7[xmlComment],IF(A57&gt;Table36[normRpm],"",IF(Table15[[#This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8" s="3">
        <f>(1-(1-Table15[[#This Row],[rpm]]/Table36[idleRpm])^2)*Table7[idleT]</f>
        <v>-34212.705882352944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131.66360294117644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-34212.705882352944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131.66360294117644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131.66360294117644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131.66360294117644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3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3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23" t="str">
        <f>IF(Table15[[#This Row],[rpm]]&lt;1,Table7[xmlComment],IF(A58&gt;Table36[normRpm],"",IF(Table15[[#This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9" s="3">
        <f>(1-(1-Table15[[#This Row],[rpm]]/Table36[idleRpm])^2)*Table7[idleT]</f>
        <v>-36681.926470588231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127.67379679144382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-36681.926470588231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127.67379679144382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127.67379679144382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127.67379679144382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3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3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23" t="str">
        <f>IF(Table15[[#This Row],[rpm]]&lt;1,Table7[xmlComment],IF(A59&gt;Table36[normRpm],"",IF(Table15[[#This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0" s="3">
        <f>(1-(1-Table15[[#This Row],[rpm]]/Table36[idleRpm])^2)*Table7[idleT]</f>
        <v>-39236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123.91868512110725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-39236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123.91868512110725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123.91868512110725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123.91868512110725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3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3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23" t="str">
        <f>IF(Table15[[#This Row],[rpm]]&lt;1,Table7[xmlComment],IF(A60&gt;Table36[normRpm],"",IF(Table15[[#This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1" s="3">
        <f>(1-(1-Table15[[#This Row],[rpm]]/Table36[idleRpm])^2)*Table7[idleT]</f>
        <v>-41874.926470588238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120.37815126050418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-41874.926470588238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120.37815126050418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120.37815126050418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120.37815126050418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3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3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23" t="str">
        <f>IF(Table15[[#This Row],[rpm]]&lt;1,Table7[xmlComment],IF(A61&gt;Table36[normRpm],"",IF(Table15[[#This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2" s="3">
        <f>(1-(1-Table15[[#This Row],[rpm]]/Table36[idleRpm])^2)*Table7[idleT]</f>
        <v>-44598.705882352937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117.03431372549018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-44598.705882352937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117.03431372549018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117.03431372549018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117.03431372549018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28" t="s">
        <v>18</v>
      </c>
      <c r="B1" s="29" t="s">
        <v>23</v>
      </c>
      <c r="C1" s="29" t="s">
        <v>8</v>
      </c>
      <c r="D1" s="29" t="s">
        <v>10</v>
      </c>
      <c r="E1" s="29" t="s">
        <v>22</v>
      </c>
      <c r="F1" s="29" t="s">
        <v>12</v>
      </c>
      <c r="G1" s="30" t="s">
        <v>13</v>
      </c>
      <c r="H1" s="35" t="s">
        <v>14</v>
      </c>
      <c r="I1" s="35" t="s">
        <v>27</v>
      </c>
      <c r="K1" s="26" t="s">
        <v>19</v>
      </c>
      <c r="L1" s="26" t="s">
        <v>20</v>
      </c>
    </row>
    <row r="2" spans="1:12" x14ac:dyDescent="0.25">
      <c r="A2" s="31">
        <v>1900</v>
      </c>
      <c r="B2" s="32">
        <v>396</v>
      </c>
      <c r="C2" s="33">
        <v>2100</v>
      </c>
      <c r="D2" s="34">
        <v>390</v>
      </c>
      <c r="E2" s="31">
        <v>1450</v>
      </c>
      <c r="F2" s="32">
        <v>1450</v>
      </c>
      <c r="G2" s="32">
        <v>1538</v>
      </c>
      <c r="H2" s="19">
        <v>800</v>
      </c>
      <c r="I2" s="36">
        <v>1.0900000000000001</v>
      </c>
      <c r="K2" s="27">
        <f>Table2[maxPS]/1.36*9550/Table2[maxPRpm]</f>
        <v>1463.5448916408668</v>
      </c>
      <c r="L2" s="27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2017-12-07T21:11:52Z</dcterms:modified>
</cp:coreProperties>
</file>