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36720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3" l="1"/>
  <c r="M2" i="3" l="1"/>
  <c r="H2" i="3"/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L4" i="3" l="1"/>
  <c r="K4" i="3"/>
  <c r="V2" i="3" l="1"/>
  <c r="J18" i="3" l="1"/>
  <c r="J15" i="3"/>
  <c r="J19" i="3"/>
  <c r="J23" i="3"/>
  <c r="J20" i="3"/>
  <c r="J16" i="3"/>
  <c r="J24" i="3"/>
  <c r="J17" i="3"/>
  <c r="J21" i="3"/>
  <c r="J25" i="3"/>
  <c r="J22" i="3"/>
  <c r="X2" i="3"/>
  <c r="J10" i="3" s="1"/>
  <c r="M4" i="3"/>
  <c r="Y2" i="3"/>
  <c r="L30" i="3" l="1"/>
  <c r="L34" i="3"/>
  <c r="L38" i="3"/>
  <c r="L46" i="3"/>
  <c r="L54" i="3"/>
  <c r="L31" i="3"/>
  <c r="L35" i="3"/>
  <c r="L39" i="3"/>
  <c r="L43" i="3"/>
  <c r="L47" i="3"/>
  <c r="L51" i="3"/>
  <c r="L55" i="3"/>
  <c r="L59" i="3"/>
  <c r="L44" i="3"/>
  <c r="L52" i="3"/>
  <c r="L60" i="3"/>
  <c r="L32" i="3"/>
  <c r="L36" i="3"/>
  <c r="L40" i="3"/>
  <c r="L48" i="3"/>
  <c r="L56" i="3"/>
  <c r="L33" i="3"/>
  <c r="L37" i="3"/>
  <c r="L41" i="3"/>
  <c r="L45" i="3"/>
  <c r="L49" i="3"/>
  <c r="L53" i="3"/>
  <c r="L57" i="3"/>
  <c r="L61" i="3"/>
  <c r="L42" i="3"/>
  <c r="L50" i="3"/>
  <c r="L58" i="3"/>
  <c r="L62" i="3"/>
  <c r="J7" i="3"/>
  <c r="J14" i="3"/>
  <c r="J13" i="3"/>
  <c r="J8" i="3"/>
  <c r="J12" i="3"/>
  <c r="J11" i="3"/>
  <c r="J9" i="3"/>
  <c r="AB2" i="3"/>
  <c r="D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O4" i="3"/>
  <c r="P4" i="3"/>
  <c r="H4" i="3" s="1"/>
  <c r="K7" i="3" l="1"/>
  <c r="L7" i="3"/>
  <c r="V59" i="3"/>
  <c r="D59" i="3" s="1"/>
  <c r="G59" i="3" s="1"/>
  <c r="I59" i="3" s="1"/>
  <c r="V58" i="3"/>
  <c r="V57" i="3"/>
  <c r="V60" i="3"/>
  <c r="V55" i="3"/>
  <c r="D55" i="3" s="1"/>
  <c r="G55" i="3" s="1"/>
  <c r="I55" i="3" s="1"/>
  <c r="V62" i="3"/>
  <c r="V61" i="3"/>
  <c r="V56" i="3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D27" i="3" s="1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T20" i="3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T34" i="3"/>
  <c r="G34" i="3" s="1"/>
  <c r="I34" i="3" s="1"/>
  <c r="T22" i="3"/>
  <c r="D18" i="3" l="1"/>
  <c r="D20" i="3"/>
  <c r="D26" i="3"/>
  <c r="D25" i="3"/>
  <c r="D21" i="3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J58" i="3" s="1"/>
  <c r="Q62" i="3"/>
  <c r="B62" i="3" s="1"/>
  <c r="F62" i="3" s="1"/>
  <c r="J62" i="3" s="1"/>
  <c r="Q55" i="3"/>
  <c r="Q56" i="3"/>
  <c r="Q59" i="3"/>
  <c r="B59" i="3" s="1"/>
  <c r="F59" i="3" s="1"/>
  <c r="J59" i="3" s="1"/>
  <c r="Q60" i="3"/>
  <c r="Q57" i="3"/>
  <c r="B57" i="3" s="1"/>
  <c r="F57" i="3" s="1"/>
  <c r="J57" i="3" s="1"/>
  <c r="Q61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F52" i="3" s="1"/>
  <c r="J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P45" i="3"/>
  <c r="P49" i="3"/>
  <c r="P53" i="3"/>
  <c r="P46" i="3"/>
  <c r="P50" i="3"/>
  <c r="P54" i="3"/>
  <c r="P44" i="3"/>
  <c r="P52" i="3"/>
  <c r="P47" i="3"/>
  <c r="P51" i="3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A22" i="1"/>
  <c r="B13" i="1" s="1"/>
  <c r="B27" i="3" l="1"/>
  <c r="F51" i="3"/>
  <c r="J51" i="3" s="1"/>
  <c r="Y52" i="3"/>
  <c r="D16" i="3"/>
  <c r="G16" i="3" s="1"/>
  <c r="I16" i="3" s="1"/>
  <c r="B15" i="1"/>
  <c r="B14" i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J54" i="3" s="1"/>
  <c r="B56" i="3"/>
  <c r="F56" i="3" s="1"/>
  <c r="J56" i="3" s="1"/>
  <c r="B55" i="3"/>
  <c r="F55" i="3" s="1"/>
  <c r="J55" i="3" s="1"/>
  <c r="B60" i="3"/>
  <c r="F60" i="3" s="1"/>
  <c r="J60" i="3" s="1"/>
  <c r="B61" i="3"/>
  <c r="F61" i="3" s="1"/>
  <c r="J61" i="3" s="1"/>
  <c r="B53" i="3"/>
  <c r="F53" i="3" s="1"/>
  <c r="J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2" i="3"/>
  <c r="O44" i="3"/>
  <c r="F44" i="3" s="1"/>
  <c r="J44" i="3" s="1"/>
  <c r="O48" i="3"/>
  <c r="F48" i="3" s="1"/>
  <c r="J48" i="3" s="1"/>
  <c r="O52" i="3"/>
  <c r="O51" i="3"/>
  <c r="O45" i="3"/>
  <c r="F45" i="3" s="1"/>
  <c r="J45" i="3" s="1"/>
  <c r="O49" i="3"/>
  <c r="F49" i="3" s="1"/>
  <c r="J49" i="3" s="1"/>
  <c r="O53" i="3"/>
  <c r="O43" i="3"/>
  <c r="F43" i="3" s="1"/>
  <c r="J43" i="3" s="1"/>
  <c r="O46" i="3"/>
  <c r="F46" i="3" s="1"/>
  <c r="J46" i="3" s="1"/>
  <c r="O50" i="3"/>
  <c r="F50" i="3" s="1"/>
  <c r="J50" i="3" s="1"/>
  <c r="O54" i="3"/>
  <c r="O47" i="3"/>
  <c r="F47" i="3" s="1"/>
  <c r="J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O31" i="3"/>
  <c r="F31" i="3" s="1"/>
  <c r="J31" i="3" s="1"/>
  <c r="O35" i="3"/>
  <c r="F35" i="3" s="1"/>
  <c r="J35" i="3" s="1"/>
  <c r="O39" i="3"/>
  <c r="F39" i="3" s="1"/>
  <c r="J39" i="3" s="1"/>
  <c r="O8" i="3"/>
  <c r="O12" i="3"/>
  <c r="O16" i="3"/>
  <c r="O20" i="3"/>
  <c r="B20" i="3" s="1"/>
  <c r="O24" i="3"/>
  <c r="O28" i="3"/>
  <c r="F28" i="3" s="1"/>
  <c r="O32" i="3"/>
  <c r="F32" i="3" s="1"/>
  <c r="J32" i="3" s="1"/>
  <c r="O36" i="3"/>
  <c r="F36" i="3" s="1"/>
  <c r="J36" i="3" s="1"/>
  <c r="O40" i="3"/>
  <c r="F40" i="3" s="1"/>
  <c r="J40" i="3" s="1"/>
  <c r="O9" i="3"/>
  <c r="O13" i="3"/>
  <c r="O17" i="3"/>
  <c r="O21" i="3"/>
  <c r="B21" i="3" s="1"/>
  <c r="O25" i="3"/>
  <c r="O29" i="3"/>
  <c r="F29" i="3" s="1"/>
  <c r="O33" i="3"/>
  <c r="F33" i="3" s="1"/>
  <c r="J33" i="3" s="1"/>
  <c r="O37" i="3"/>
  <c r="F37" i="3" s="1"/>
  <c r="J37" i="3" s="1"/>
  <c r="O41" i="3"/>
  <c r="F41" i="3" s="1"/>
  <c r="J41" i="3" s="1"/>
  <c r="O22" i="3"/>
  <c r="O38" i="3"/>
  <c r="F38" i="3" s="1"/>
  <c r="J38" i="3" s="1"/>
  <c r="O34" i="3"/>
  <c r="F34" i="3" s="1"/>
  <c r="J34" i="3" s="1"/>
  <c r="O10" i="3"/>
  <c r="O26" i="3"/>
  <c r="B26" i="3" s="1"/>
  <c r="O42" i="3"/>
  <c r="F42" i="3" s="1"/>
  <c r="J42" i="3" s="1"/>
  <c r="O14" i="3"/>
  <c r="O30" i="3"/>
  <c r="F30" i="3" s="1"/>
  <c r="J30" i="3" s="1"/>
  <c r="O18" i="3"/>
  <c r="I18" i="3"/>
  <c r="I19" i="3"/>
  <c r="I17" i="3"/>
  <c r="G12" i="3"/>
  <c r="F12" i="3"/>
  <c r="F13" i="3"/>
  <c r="D22" i="1"/>
  <c r="H51" i="3" l="1"/>
  <c r="F27" i="3"/>
  <c r="H27" i="3" s="1"/>
  <c r="J29" i="3"/>
  <c r="J28" i="3"/>
  <c r="F26" i="3"/>
  <c r="Y51" i="3"/>
  <c r="Y40" i="3"/>
  <c r="Y39" i="3"/>
  <c r="Y46" i="3"/>
  <c r="Y45" i="3"/>
  <c r="Y44" i="3"/>
  <c r="Y50" i="3"/>
  <c r="Y49" i="3"/>
  <c r="Y48" i="3"/>
  <c r="Y47" i="3"/>
  <c r="Y43" i="3"/>
  <c r="Y42" i="3"/>
  <c r="Y41" i="3"/>
  <c r="B25" i="3"/>
  <c r="F25" i="3" s="1"/>
  <c r="Y38" i="3"/>
  <c r="B10" i="3"/>
  <c r="F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9" i="3"/>
  <c r="Y32" i="3"/>
  <c r="Y35" i="3"/>
  <c r="H60" i="3"/>
  <c r="Y60" i="3"/>
  <c r="H53" i="3"/>
  <c r="Y53" i="3"/>
  <c r="Y30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41" i="3"/>
  <c r="H11" i="3"/>
  <c r="H40" i="3"/>
  <c r="H38" i="3"/>
  <c r="H13" i="3"/>
  <c r="H12" i="3"/>
  <c r="H28" i="3"/>
  <c r="H36" i="3"/>
  <c r="H32" i="3"/>
  <c r="H42" i="3"/>
  <c r="H35" i="3"/>
  <c r="H37" i="3"/>
  <c r="H29" i="3"/>
  <c r="H31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Y27" i="3" l="1"/>
  <c r="J27" i="3"/>
  <c r="L29" i="3"/>
  <c r="L28" i="3"/>
  <c r="L27" i="3"/>
  <c r="J26" i="3"/>
  <c r="L26" i="3"/>
  <c r="L8" i="3"/>
  <c r="L12" i="3"/>
  <c r="L18" i="3"/>
  <c r="L21" i="3"/>
  <c r="L24" i="3"/>
  <c r="H26" i="3"/>
  <c r="L19" i="3"/>
  <c r="L14" i="3"/>
  <c r="L11" i="3"/>
  <c r="L10" i="3"/>
  <c r="L16" i="3"/>
  <c r="L15" i="3"/>
  <c r="L25" i="3"/>
  <c r="L13" i="3"/>
  <c r="L17" i="3"/>
  <c r="L9" i="3"/>
  <c r="L20" i="3"/>
  <c r="L22" i="3"/>
  <c r="L23" i="3"/>
  <c r="Y26" i="3"/>
  <c r="H10" i="3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I10" i="3"/>
  <c r="H20" i="3"/>
  <c r="H21" i="3"/>
  <c r="H19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9" i="3" l="1"/>
  <c r="K22" i="3"/>
  <c r="K14" i="3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<sst xmlns="http://schemas.openxmlformats.org/spreadsheetml/2006/main" count="106" uniqueCount="84">
  <si>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</si>
  <si>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</si>
  <si>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</si>
  <si>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</si>
  <si>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</si>
  <si>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</si>
  <si>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</si>
  <si>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</si>
  <si>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</si>
  <si>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</si>
  <si>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</si>
  <si>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</si>
  <si>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</si>
  <si>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</si>
  <si>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</si>
  <si>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</si>
  <si>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</si>
  <si>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</si>
  <si>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</si>
  <si>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</si>
  <si>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</si>
  <si>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</si>
  <si>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</si>
  <si>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</si>
  <si>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</si>
  <si>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</si>
  <si>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</si>
  <si>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</si>
  <si>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</si>
  <si>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</si>
  <si>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</si>
  <si>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</si>
  <si>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</si>
  <si>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</si>
  <si>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</si>
  <si>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</si>
  <si>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</si>
  <si>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</si>
  <si>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</si>
  <si>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</si>
  <si>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</si>
  <si>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</si>
  <si>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</si>
  <si>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</si>
  <si>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</si>
  <si>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</si>
  <si>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</si>
  <si>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</si>
  <si>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</si>
  <si>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</si>
  <si>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</si>
  <si>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</si>
  <si>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</si>
  <si>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</si>
  <si>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</si>
  <si>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</si>
  <si>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</si>
  <si>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</si>
  <si>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</si>
  <si>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</si>
  <si>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</si>
  <si>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</si>
  <si>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</si>
  <si>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</si>
  <si>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</si>
  <si>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</si>
  <si>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</si>
  <si>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</si>
  <si>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</si>
  <si>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</si>
  <si>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</si>
  <si>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</si>
  <si>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</si>
  <si>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</si>
  <si>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</si>
  <si>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</si>
  <si>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</si>
  <si>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</si>
  <si>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</si>
  <si>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</si>
  <si>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</si>
  <si>
    <t>maxPSEcoInput</t>
  </si>
  <si>
    <t>PSEcoInput</t>
  </si>
  <si>
    <t>maxTEcoInput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</si>
</sst>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1" fontId="2" fillId="0" borderId="0" xfId="0" applyNumberFormat="1" applyFont="1"/>
    <xf numFmtId="0" fontId="3" fillId="2" borderId="0" xfId="0" applyFont="1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6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  <xf numFmtId="9" fontId="5" fillId="0" borderId="12" xfId="1" applyFont="1" applyBorder="1"/>
    <xf numFmtId="9" fontId="0" fillId="0" borderId="12" xfId="1" applyFont="1" applyBorder="1"/>
    <xf numFmtId="0" fontId="5" fillId="0" borderId="3" xfId="0" applyFont="1" applyFill="1" applyBorder="1"/>
    <xf numFmtId="0" fontId="0" fillId="0" borderId="3" xfId="0" applyFill="1" applyBorder="1"/>
    <xf numFmtId="0" fontId="5" fillId="0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1" applyFont="1" applyFill="1" applyBorder="1"/>
    <xf numFmtId="0" fontId="0" fillId="6" borderId="12" xfId="0" applyFill="1" applyBorder="1"/>
    <xf numFmtId="9" fontId="0" fillId="6" borderId="1" xfId="1" applyFont="1" applyFill="1" applyBorder="1"/>
    <xf numFmtId="9" fontId="0" fillId="6" borderId="3" xfId="1" applyFont="1" applyFill="1" applyBorder="1"/>
  </cellXfs>
  <cellStyles count="2">
    <cellStyle name="Normal" xfId="0" builtinId="0"/>
    <cellStyle name="Percent" xfId="1" builtinId="5"/>
  </cellStyles>
  <dxfs count="96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ont>
        <i/>
        <color theme="0" tint="-0.34998626667073579"/>
      </font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color theme="0" tint="-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323.59631387800619</c:v>
                </c:pt>
                <c:pt idx="2">
                  <c:v>484.31936858360257</c:v>
                </c:pt>
                <c:pt idx="3">
                  <c:v>551.90082644628092</c:v>
                </c:pt>
                <c:pt idx="4">
                  <c:v>580.01652892561981</c:v>
                </c:pt>
                <c:pt idx="5">
                  <c:v>601.88429752066122</c:v>
                </c:pt>
                <c:pt idx="6">
                  <c:v>617.50413223140504</c:v>
                </c:pt>
                <c:pt idx="7">
                  <c:v>626.87603305785126</c:v>
                </c:pt>
                <c:pt idx="8">
                  <c:v>630</c:v>
                </c:pt>
                <c:pt idx="9">
                  <c:v>626.54892349096508</c:v>
                </c:pt>
                <c:pt idx="10">
                  <c:v>616.19569396385998</c:v>
                </c:pt>
                <c:pt idx="11">
                  <c:v>598.94031141868504</c:v>
                </c:pt>
                <c:pt idx="12">
                  <c:v>564.44674223856202</c:v>
                </c:pt>
                <c:pt idx="13">
                  <c:v>547.70872664944352</c:v>
                </c:pt>
                <c:pt idx="14">
                  <c:v>531.27418730650152</c:v>
                </c:pt>
                <c:pt idx="15">
                  <c:v>515.11977988310707</c:v>
                </c:pt>
                <c:pt idx="16">
                  <c:v>499.22449448529409</c:v>
                </c:pt>
                <c:pt idx="17">
                  <c:v>483.56937096484933</c:v>
                </c:pt>
                <c:pt idx="18">
                  <c:v>468.13725490196077</c:v>
                </c:pt>
                <c:pt idx="19">
                  <c:v>425.76345385232145</c:v>
                </c:pt>
                <c:pt idx="20">
                  <c:v>273.43839265919127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323.59631387800619</c:v>
                </c:pt>
                <c:pt idx="2">
                  <c:v>484.31936858360257</c:v>
                </c:pt>
                <c:pt idx="3">
                  <c:v>551.90082644628092</c:v>
                </c:pt>
                <c:pt idx="4">
                  <c:v>580.01652892561981</c:v>
                </c:pt>
                <c:pt idx="5">
                  <c:v>601.88429752066122</c:v>
                </c:pt>
                <c:pt idx="6">
                  <c:v>617.50413223140504</c:v>
                </c:pt>
                <c:pt idx="7">
                  <c:v>626.87603305785126</c:v>
                </c:pt>
                <c:pt idx="8">
                  <c:v>630</c:v>
                </c:pt>
                <c:pt idx="9">
                  <c:v>626.54892349096508</c:v>
                </c:pt>
                <c:pt idx="10">
                  <c:v>616.19569396385998</c:v>
                </c:pt>
                <c:pt idx="11">
                  <c:v>598.94031141868504</c:v>
                </c:pt>
                <c:pt idx="12">
                  <c:v>564.44674223856202</c:v>
                </c:pt>
                <c:pt idx="13">
                  <c:v>547.70872664944352</c:v>
                </c:pt>
                <c:pt idx="14">
                  <c:v>531.27418730650152</c:v>
                </c:pt>
                <c:pt idx="15">
                  <c:v>515.11977988310707</c:v>
                </c:pt>
                <c:pt idx="16">
                  <c:v>499.22449448529409</c:v>
                </c:pt>
                <c:pt idx="17">
                  <c:v>483.56937096484933</c:v>
                </c:pt>
                <c:pt idx="18">
                  <c:v>468.13725490196077</c:v>
                </c:pt>
                <c:pt idx="19">
                  <c:v>425.76345385232145</c:v>
                </c:pt>
                <c:pt idx="20">
                  <c:v>273.43839265919127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16.128989047741463</c:v>
                </c:pt>
                <c:pt idx="2">
                  <c:v>48.279794648333997</c:v>
                </c:pt>
                <c:pt idx="3">
                  <c:v>70.73577084505213</c:v>
                </c:pt>
                <c:pt idx="4">
                  <c:v>82.599212496213923</c:v>
                </c:pt>
                <c:pt idx="5">
                  <c:v>94.284702522608285</c:v>
                </c:pt>
                <c:pt idx="6">
                  <c:v>105.52531348708411</c:v>
                </c:pt>
                <c:pt idx="7">
                  <c:v>116.05411795249019</c:v>
                </c:pt>
                <c:pt idx="8">
                  <c:v>125.60418848167542</c:v>
                </c:pt>
                <c:pt idx="9">
                  <c:v>133.8387229237245</c:v>
                </c:pt>
                <c:pt idx="10">
                  <c:v>140.40228587071826</c:v>
                </c:pt>
                <c:pt idx="11">
                  <c:v>144.99999999999997</c:v>
                </c:pt>
                <c:pt idx="12">
                  <c:v>144.68749999999997</c:v>
                </c:pt>
                <c:pt idx="13">
                  <c:v>144.296875</c:v>
                </c:pt>
                <c:pt idx="14">
                  <c:v>143.75</c:v>
                </c:pt>
                <c:pt idx="15">
                  <c:v>143.046875</c:v>
                </c:pt>
                <c:pt idx="16">
                  <c:v>142.1875</c:v>
                </c:pt>
                <c:pt idx="17">
                  <c:v>141.171875</c:v>
                </c:pt>
                <c:pt idx="18">
                  <c:v>140</c:v>
                </c:pt>
                <c:pt idx="19">
                  <c:v>130.35940723185212</c:v>
                </c:pt>
                <c:pt idx="20" formatCode="0">
                  <c:v>85.667818935738239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16.128989047741463</c:v>
                </c:pt>
                <c:pt idx="2">
                  <c:v>48.279794648333997</c:v>
                </c:pt>
                <c:pt idx="3">
                  <c:v>70.73577084505213</c:v>
                </c:pt>
                <c:pt idx="4">
                  <c:v>82.599212496213923</c:v>
                </c:pt>
                <c:pt idx="5">
                  <c:v>94.284702522608285</c:v>
                </c:pt>
                <c:pt idx="6">
                  <c:v>105.52531348708411</c:v>
                </c:pt>
                <c:pt idx="7">
                  <c:v>116.05411795249019</c:v>
                </c:pt>
                <c:pt idx="8">
                  <c:v>125.60418848167542</c:v>
                </c:pt>
                <c:pt idx="9">
                  <c:v>133.8387229237245</c:v>
                </c:pt>
                <c:pt idx="10">
                  <c:v>140.40228587071826</c:v>
                </c:pt>
                <c:pt idx="11">
                  <c:v>144.99999999999997</c:v>
                </c:pt>
                <c:pt idx="12">
                  <c:v>144.68749999999997</c:v>
                </c:pt>
                <c:pt idx="13">
                  <c:v>144.296875</c:v>
                </c:pt>
                <c:pt idx="14">
                  <c:v>143.75</c:v>
                </c:pt>
                <c:pt idx="15">
                  <c:v>143.046875</c:v>
                </c:pt>
                <c:pt idx="16">
                  <c:v>142.1875</c:v>
                </c:pt>
                <c:pt idx="17">
                  <c:v>141.171875</c:v>
                </c:pt>
                <c:pt idx="18">
                  <c:v>140</c:v>
                </c:pt>
                <c:pt idx="19">
                  <c:v>130.35940723185212</c:v>
                </c:pt>
                <c:pt idx="20" formatCode="0">
                  <c:v>85.667818935738239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299.55774754346157</c:v>
                </c:pt>
                <c:pt idx="1">
                  <c:v>258.42282690854108</c:v>
                </c:pt>
                <c:pt idx="2">
                  <c:v>230.43605442176866</c:v>
                </c:pt>
                <c:pt idx="3">
                  <c:v>220.34686318972032</c:v>
                </c:pt>
                <c:pt idx="4">
                  <c:v>216.91224489795917</c:v>
                </c:pt>
                <c:pt idx="5">
                  <c:v>214.5509448223734</c:v>
                </c:pt>
                <c:pt idx="6">
                  <c:v>213.26296296296297</c:v>
                </c:pt>
                <c:pt idx="7">
                  <c:v>213.03091885614748</c:v>
                </c:pt>
                <c:pt idx="8">
                  <c:v>213.58058740988048</c:v>
                </c:pt>
                <c:pt idx="9">
                  <c:v>214.81734165577976</c:v>
                </c:pt>
                <c:pt idx="10">
                  <c:v>216.74118159384525</c:v>
                </c:pt>
                <c:pt idx="11">
                  <c:v>219.35210722407703</c:v>
                </c:pt>
                <c:pt idx="12">
                  <c:v>222.65011854647506</c:v>
                </c:pt>
                <c:pt idx="13">
                  <c:v>224.55678134223641</c:v>
                </c:pt>
                <c:pt idx="14">
                  <c:v>226.63521556103933</c:v>
                </c:pt>
                <c:pt idx="15">
                  <c:v>228.88542120288383</c:v>
                </c:pt>
                <c:pt idx="16">
                  <c:v>231.30739826776986</c:v>
                </c:pt>
                <c:pt idx="17">
                  <c:v>233.90114675569748</c:v>
                </c:pt>
                <c:pt idx="18">
                  <c:v>236.66666666666666</c:v>
                </c:pt>
                <c:pt idx="19">
                  <c:v>340.85637656911615</c:v>
                </c:pt>
                <c:pt idx="20">
                  <c:v>543.08090327549587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0</xdr:rowOff>
    </xdr:from>
    <xdr:to>
      <xdr:col>67</xdr:col>
      <xdr:colOff>171449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28576</xdr:rowOff>
    </xdr:from>
    <xdr:to>
      <xdr:col>65</xdr:col>
      <xdr:colOff>276226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95" dataDxfId="94">
  <tableColumns count="25">
    <tableColumn id="1" name="rpm" dataDxfId="93"/>
    <tableColumn id="7" name="rawData" dataDxfId="92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91"/>
    <tableColumn id="12" name="rawDataEco" dataDxfId="90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9"/>
    <tableColumn id="4" name="motor" dataDxfId="88">
      <calculatedColumnFormula>Table36[Factor]*IF(Table15[[#This Row],[manualData]]&gt;0,Table15[[#This Row],[manualData]],Table15[[#This Row],[rawData]])</calculatedColumnFormula>
    </tableColumn>
    <tableColumn id="14" name="motorEco" dataDxfId="87">
      <calculatedColumnFormula>Table36[Factor]*IF(Table15[[#This Row],[manDataEco]]&gt;0,Table15[[#This Row],[manDataEco]],Table15[[#This Row],[rawDataEco]])</calculatedColumnFormula>
    </tableColumn>
    <tableColumn id="3" name="ps" dataDxfId="86">
      <calculatedColumnFormula>1.36*Table15[[#This Row],[rpm]]*Table15[[#This Row],[motor]]/9550</calculatedColumnFormula>
    </tableColumn>
    <tableColumn id="13" name="psEco" dataDxfId="85">
      <calculatedColumnFormula>1.36*Table15[[#This Row],[rpm]]*Table15[[#This Row],[motorEco]]/9550</calculatedColumnFormula>
    </tableColumn>
    <tableColumn id="10" name="fuelUsageRatio" dataDxfId="8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calculatedColumnFormula>
    </tableColumn>
    <tableColumn id="5" name="xml" dataDxfId="8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82">
      <calculatedColumnFormula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calculatedColumnFormula>
    </tableColumn>
    <tableColumn id="15" name="t1" dataDxfId="81">
      <calculatedColumnFormula>(1-(1-Table15[[#This Row],[rpm]]/Table36[idleRpm])^2)*Table7[idleT]</calculatedColumnFormula>
    </tableColumn>
    <tableColumn id="18" name="t2" dataDxfId="80">
      <calculatedColumnFormula>MAX(0,(1-Table7[f1]*(Table36[maxTRpm1]-Table15[[#This Row],[rpm]])^2)*Table36[maxT])</calculatedColumnFormula>
    </tableColumn>
    <tableColumn id="19" name="t3" dataDxfId="7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8">
      <calculatedColumnFormula>MAX(0,(Table36[maxPS]-Table7[f4]*(Table15[[#This Row],[rpm]]-Table36[maxPRpm])^2)/1.36*9550/MAX(1,Table15[[#This Row],[rpm]]))</calculatedColumnFormula>
    </tableColumn>
    <tableColumn id="17" name="t5" dataDxfId="7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76">
      <calculatedColumnFormula>(1-(1-Table15[[#This Row],[rpm]]/Table36[idleRpm])^2)*Table7[idleTEco]</calculatedColumnFormula>
    </tableColumn>
    <tableColumn id="22" name="t2E" dataDxfId="75">
      <calculatedColumnFormula>MAX(0,(1-Table7[f1]*(Table36[maxTRpm1]-Table15[[#This Row],[rpm]])^2)*Table36[maxTEco])</calculatedColumnFormula>
    </tableColumn>
    <tableColumn id="23" name="t3E" dataDxfId="7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73">
      <calculatedColumnFormula>MAX(0,(Table36[maxPSEco]-Table7[f4Eco]*(Table15[[#This Row],[rpm]]-Table36[maxPRpm])^2)/1.36*9550/MAX(1,Table15[[#This Row],[rpm]]))</calculatedColumnFormula>
    </tableColumn>
    <tableColumn id="25" name="t5E" dataDxfId="72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71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70"/>
    <tableColumn id="20" name="deltaEco" dataDxfId="69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AC2" totalsRowShown="0" headerRowDxfId="68">
  <autoFilter ref="A1:AC2">
    <filterColumn colId="0" hiddenButton="1"/>
    <filterColumn colId="1" hiddenButton="1"/>
    <filterColumn colId="3" hiddenButton="1"/>
    <filterColumn colId="4" hiddenButton="1"/>
    <filterColumn colId="5" hiddenButton="1"/>
    <filterColumn colId="7" hiddenButton="1"/>
    <filterColumn colId="8" hiddenButton="1"/>
    <filterColumn colId="9" hiddenButton="1"/>
    <filterColumn colId="10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9">
    <tableColumn id="10" name="maxPRpm" dataDxfId="67"/>
    <tableColumn id="14" name="maxPS" dataDxfId="66"/>
    <tableColumn id="27" name="maxPSEcoInput" dataDxfId="65"/>
    <tableColumn id="19" name="maxPSEco" dataDxfId="64">
      <calculatedColumnFormula>IF(Table36[maxPSEcoInput]&gt;0,Table36[maxPSEcoInput],Table36[maxPS]*Table36[maxPsEcoRate])</calculatedColumnFormula>
    </tableColumn>
    <tableColumn id="2" name="ratedRpm" dataDxfId="63"/>
    <tableColumn id="3" name="PS" dataDxfId="62"/>
    <tableColumn id="28" name="PSEcoInput" dataDxfId="61"/>
    <tableColumn id="20" name="PSEco" dataDxfId="60">
      <calculatedColumnFormula>IF(Table36[PSEcoInput]&gt;0,Table36[PSEcoInput],Table36[PS]*Table36[PSEcoRate])</calculatedColumnFormula>
    </tableColumn>
    <tableColumn id="12" name="maxTRpm1" dataDxfId="59"/>
    <tableColumn id="4" name="maxTRpm" dataDxfId="58"/>
    <tableColumn id="5" name="maxT" dataDxfId="57"/>
    <tableColumn id="29" name="maxTEcoInput" dataDxfId="56"/>
    <tableColumn id="21" name="maxTEco" dataDxfId="55">
      <calculatedColumnFormula>IF(Table36[maxTEcoInput]&gt;0,Table36[maxTEcoInput],Table36[maxT]*Table36[NmEcoRate])</calculatedColumnFormula>
    </tableColumn>
    <tableColumn id="6" name="idleRpm" dataDxfId="54"/>
    <tableColumn id="7" name="idleRatio" dataDxfId="53" dataCellStyle="Percent"/>
    <tableColumn id="11" name="fadeOut" dataDxfId="52"/>
    <tableColumn id="15" name="linearDown" dataDxfId="51"/>
    <tableColumn id="25" name="fadeOutExp" dataDxfId="50">
      <calculatedColumnFormula>IF(Table36[fadeOut]&lt;100,3,IF(Table36[fadeOut]&lt;150,2.2,IF(Table36[fadeOut]&lt;200,2,1.7)))</calculatedColumnFormula>
    </tableColumn>
    <tableColumn id="22" name="Efficiency" dataDxfId="49" dataCellStyle="Percent"/>
    <tableColumn id="16" name="Factor" dataDxfId="48"/>
    <tableColumn id="13" name="fuelMinRate" dataDxfId="47"/>
    <tableColumn id="18" name="fuelRatedRate" dataDxfId="46">
      <calculatedColumnFormula>Table36[fuelMinRate]/0.9</calculatedColumnFormula>
    </tableColumn>
    <tableColumn id="9" name="fuelMinRpm" dataDxfId="45"/>
    <tableColumn id="17" name="fuelIdleRate" dataDxfId="44">
      <calculatedColumnFormula>0.94*Table36[fuelRatedRate]</calculatedColumnFormula>
    </tableColumn>
    <tableColumn id="1" name="normRpm" dataDxfId="43">
      <calculatedColumnFormula>ROUND(Table36[ratedRpm]+0.49*Table36[fadeOut],-2)</calculatedColumnFormula>
    </tableColumn>
    <tableColumn id="8" name="PSEcoRate" dataDxfId="42" dataCellStyle="Percent"/>
    <tableColumn id="23" name="NmEcoRate" dataDxfId="41" dataCellStyle="Percent"/>
    <tableColumn id="24" name="maxPsEcoRate" dataDxfId="40" dataCellStyle="Percent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39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8" dataDxfId="37">
  <tableColumns count="23">
    <tableColumn id="1" name="f1" dataDxfId="36">
      <calculatedColumnFormula>(1-Table36[idleRatio])/((Table36[maxTRpm1]-Table36[idleRpm])^2)</calculatedColumnFormula>
    </tableColumn>
    <tableColumn id="2" name="f2" dataDxfId="35">
      <calculatedColumnFormula>(Table36[maxT]-Table7[Nm])/Table36[maxT]/(Table36[maxPRpm]-Table36[maxTRpm])</calculatedColumnFormula>
    </tableColumn>
    <tableColumn id="5" name="f3" dataDxfId="34">
      <calculatedColumnFormula>(Table36[maxT]-Table7[Nm])/Table36[maxT]/(Table36[maxPRpm]-Table36[maxTRpm])^2</calculatedColumnFormula>
    </tableColumn>
    <tableColumn id="6" name="f4" dataDxfId="33">
      <calculatedColumnFormula>(Table36[maxPS]-Table36[PS])/MAX(1,Table36[ratedRpm]-Table36[maxPRpm])^2</calculatedColumnFormula>
    </tableColumn>
    <tableColumn id="3" name="Nm" dataDxfId="32">
      <calculatedColumnFormula>Table36[maxPS]/1.36*9550/Table36[maxPRpm]</calculatedColumnFormula>
    </tableColumn>
    <tableColumn id="4" name="Nm2" dataDxfId="31">
      <calculatedColumnFormula>Table36[PS]/1.36*9550/Table36[ratedRpm]</calculatedColumnFormula>
    </tableColumn>
    <tableColumn id="7" name="Anfahrmoment" dataDxfId="30" dataCellStyle="Percent">
      <calculatedColumnFormula>Table7[Nm1000]/Table7[Nm2]</calculatedColumnFormula>
    </tableColumn>
    <tableColumn id="17" name="AnstiegE" dataDxfId="29" dataCellStyle="Percent">
      <calculatedColumnFormula>Table36[maxTEco]/Table7[Nm2Eco]-1</calculatedColumnFormula>
    </tableColumn>
    <tableColumn id="14" name="Anstieg" dataDxfId="28" dataCellStyle="Percent">
      <calculatedColumnFormula>Table36[maxT]/Table7[Nm2]-1</calculatedColumnFormula>
    </tableColumn>
    <tableColumn id="15" name="Abfall" dataDxfId="27" dataCellStyle="Percent">
      <calculatedColumnFormula>1-Table36[maxTRpm]/Table36[ratedRpm]</calculatedColumnFormula>
    </tableColumn>
    <tableColumn id="20" name="max kW" dataDxfId="26" dataCellStyle="Percent">
      <calculatedColumnFormula>Table36[maxPS]/1.36</calculatedColumnFormula>
    </tableColumn>
    <tableColumn id="18" name="rated kW" dataDxfId="25" dataCellStyle="Percent">
      <calculatedColumnFormula>Table36[PS]/1.36</calculatedColumnFormula>
    </tableColumn>
    <tableColumn id="23" name="max g/kWh" dataDxfId="24" dataCellStyle="Percent">
      <calculatedColumnFormula>Table36[fuelRatedRate]*1.1</calculatedColumnFormula>
    </tableColumn>
    <tableColumn id="16" name="Nm1000" dataDxfId="23" dataCellStyle="Percent">
      <calculatedColumnFormula>(1-Table7[f1]*(Table36[maxTRpm1]-1000)^2)*Table36[maxTEco]</calculatedColumnFormula>
    </tableColumn>
    <tableColumn id="8" name="NmEco" dataDxfId="22">
      <calculatedColumnFormula>Table36[maxPSEco]/1.36*9550/Table36[maxPRpm]</calculatedColumnFormula>
    </tableColumn>
    <tableColumn id="9" name="Nm2Eco" dataDxfId="21">
      <calculatedColumnFormula>Table36[PSEco]/1.36*9550/Table36[ratedRpm]</calculatedColumnFormula>
    </tableColumn>
    <tableColumn id="12" name="f2Eco" dataDxfId="20">
      <calculatedColumnFormula>(Table36[maxTEco]-Table7[NmEco])/Table36[maxTEco]/(Table36[maxPRpm]-Table36[maxTRpm])</calculatedColumnFormula>
    </tableColumn>
    <tableColumn id="10" name="f3Eco" dataDxfId="19">
      <calculatedColumnFormula>(Table36[maxTEco]-Table7[NmEco])/Table36[maxTEco]/(Table36[maxPRpm]-Table36[maxTRpm])^2</calculatedColumnFormula>
    </tableColumn>
    <tableColumn id="11" name="f4Eco" dataDxfId="18">
      <calculatedColumnFormula>(Table36[maxPSEco]-Table36[PSEco])/MAX(1,Table36[ratedRpm]-Table36[maxPRpm])^2</calculatedColumnFormula>
    </tableColumn>
    <tableColumn id="13" name="idleT" dataDxfId="17">
      <calculatedColumnFormula>(1-Table7[f1]*(Table36[maxTRpm1]-Table36[idleRpm])^2)*Table36[maxT]</calculatedColumnFormula>
    </tableColumn>
    <tableColumn id="19" name="idleTEco" dataDxfId="16">
      <calculatedColumnFormula>(1-Table7[f1]*(Table36[maxTRpm1]-Table36[idleRpm])^2)*Table36[maxTEco]</calculatedColumnFormula>
    </tableColumn>
    <tableColumn id="21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3">
      <calculatedColumnFormula>A2*C2/9550</calculatedColumnFormula>
    </tableColumn>
    <tableColumn id="3" name="ps" dataDxfId="12">
      <calculatedColumnFormula>Table1[[#This Row],[kw_pto]]*1.36/0.94</calculatedColumnFormula>
    </tableColumn>
    <tableColumn id="4" name="motor"/>
    <tableColumn id="5" name="xml" dataDxfId="11">
      <calculatedColumnFormula>CONCATENATE("&lt;torque rpm=""",Table1[[#This Row],[rpm]],""" motorTorque=""",ROUND(Table1[[#This Row],[motor]],0),"""/&gt;")</calculatedColumnFormula>
    </tableColumn>
    <tableColumn id="8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9" tableBorderDxfId="8">
  <tableColumns count="9">
    <tableColumn id="1" name="maxPRpm" dataDxfId="7"/>
    <tableColumn id="2" name="maxPS" dataDxfId="6"/>
    <tableColumn id="4" name="ratedRpm" dataDxfId="5"/>
    <tableColumn id="5" name="PS" dataDxfId="4"/>
    <tableColumn id="7" name="maxTRpm1" dataDxfId="3"/>
    <tableColumn id="8" name="maxTRpm" dataDxfId="2"/>
    <tableColumn id="9" name="maxT" dataDxfId="1"/>
    <tableColumn id="11" name="idleRpm" dataDxfId="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2"/>
  <sheetViews>
    <sheetView tabSelected="1" workbookViewId="0">
      <selection activeCell="P2" sqref="P2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9" s="4" customFormat="1" ht="45.75" customHeight="1" thickBot="1" x14ac:dyDescent="0.3">
      <c r="A1" s="4" t="s">
        <v>18</v>
      </c>
      <c r="B1" s="4" t="s">
        <v>23</v>
      </c>
      <c r="C1" s="4" t="s">
        <v>81</v>
      </c>
      <c r="D1" s="4" t="s">
        <v>35</v>
      </c>
      <c r="E1" s="4" t="s">
        <v>8</v>
      </c>
      <c r="F1" s="4" t="s">
        <v>10</v>
      </c>
      <c r="G1" s="4" t="s">
        <v>82</v>
      </c>
      <c r="H1" s="4" t="s">
        <v>36</v>
      </c>
      <c r="I1" s="4" t="s">
        <v>22</v>
      </c>
      <c r="J1" s="4" t="s">
        <v>12</v>
      </c>
      <c r="K1" s="5" t="s">
        <v>13</v>
      </c>
      <c r="L1" s="5" t="s">
        <v>83</v>
      </c>
      <c r="M1" s="4" t="s">
        <v>47</v>
      </c>
      <c r="N1" s="4" t="s">
        <v>14</v>
      </c>
      <c r="O1" s="4" t="s">
        <v>15</v>
      </c>
      <c r="P1" s="4" t="s">
        <v>21</v>
      </c>
      <c r="Q1" s="4" t="s">
        <v>25</v>
      </c>
      <c r="R1" s="4" t="s">
        <v>68</v>
      </c>
      <c r="S1" s="4" t="s">
        <v>49</v>
      </c>
      <c r="T1" s="4" t="s">
        <v>7</v>
      </c>
      <c r="U1" s="4" t="s">
        <v>31</v>
      </c>
      <c r="V1" s="4" t="s">
        <v>33</v>
      </c>
      <c r="W1" s="4" t="s">
        <v>30</v>
      </c>
      <c r="X1" s="4" t="s">
        <v>32</v>
      </c>
      <c r="Y1" s="4" t="s">
        <v>60</v>
      </c>
      <c r="Z1" s="4" t="s">
        <v>63</v>
      </c>
      <c r="AA1" s="4" t="s">
        <v>64</v>
      </c>
      <c r="AB1" s="4" t="s">
        <v>67</v>
      </c>
      <c r="AC1" s="4" t="s">
        <v>74</v>
      </c>
    </row>
    <row r="2" spans="1:29" ht="15.75" thickBot="1" x14ac:dyDescent="0.3">
      <c r="A2" s="42">
        <v>1700</v>
      </c>
      <c r="B2" s="43">
        <v>145</v>
      </c>
      <c r="C2" s="44"/>
      <c r="D2" s="39">
        <f>IF(Table36[maxPSEcoInput]&gt;0,Table36[maxPSEcoInput],Table36[maxPS]*Table36[maxPsEcoRate])</f>
        <v>145</v>
      </c>
      <c r="E2" s="42">
        <v>2100</v>
      </c>
      <c r="F2" s="43">
        <v>140</v>
      </c>
      <c r="G2" s="44"/>
      <c r="H2" s="11">
        <f>IF(Table36[PSEcoInput]&gt;0,Table36[PSEcoInput],Table36[PS]*Table36[PSEcoRate])</f>
        <v>140</v>
      </c>
      <c r="I2" s="42">
        <v>1400</v>
      </c>
      <c r="J2" s="43">
        <v>1400</v>
      </c>
      <c r="K2" s="43">
        <v>630</v>
      </c>
      <c r="L2" s="44"/>
      <c r="M2" s="39">
        <f>IF(Table36[maxTEcoInput]&gt;0,Table36[maxTEcoInput],Table36[maxT]*Table36[NmEcoRate])</f>
        <v>630</v>
      </c>
      <c r="N2" s="42">
        <v>850</v>
      </c>
      <c r="O2" s="45">
        <v>0.85</v>
      </c>
      <c r="P2" s="44">
        <v>149</v>
      </c>
      <c r="Q2" s="46">
        <v>0</v>
      </c>
      <c r="R2" s="41">
        <f>IF(Table36[fadeOut]&lt;100,3,IF(Table36[fadeOut]&lt;150,2.2,IF(Table36[fadeOut]&lt;200,2,1.7)))</f>
        <v>2.2000000000000002</v>
      </c>
      <c r="S2" s="41">
        <v>0.98</v>
      </c>
      <c r="T2" s="40">
        <v>1</v>
      </c>
      <c r="U2" s="46">
        <v>213</v>
      </c>
      <c r="V2" s="9">
        <f>Table36[fuelMinRate]/0.9</f>
        <v>236.66666666666666</v>
      </c>
      <c r="W2" s="10">
        <v>1270</v>
      </c>
      <c r="X2" s="11">
        <f>0.94*Table36[fuelRatedRate]</f>
        <v>222.46666666666664</v>
      </c>
      <c r="Y2" s="9">
        <f>ROUND(Table36[ratedRpm]+0.49*Table36[fadeOut],-2)</f>
        <v>2200</v>
      </c>
      <c r="Z2" s="47">
        <v>1</v>
      </c>
      <c r="AA2" s="48">
        <v>1</v>
      </c>
      <c r="AB2" s="37">
        <f>Table36[PSEcoRate]* (Table36[maxPRpm]-Table36[maxTRpm])/(Table36[ratedRpm]-Table36[maxTRpm]) + Table36[NmEcoRate]* (1- (Table36[maxPRpm]-Table36[maxTRpm])/(Table36[ratedRpm]-Table36[maxTRpm]))</f>
        <v>1</v>
      </c>
      <c r="AC2" s="38">
        <v>0.02</v>
      </c>
    </row>
    <row r="3" spans="1:29" x14ac:dyDescent="0.25">
      <c r="A3" s="8" t="s">
        <v>16</v>
      </c>
      <c r="B3" s="8" t="s">
        <v>17</v>
      </c>
      <c r="C3" s="8" t="s">
        <v>24</v>
      </c>
      <c r="D3" s="8" t="s">
        <v>26</v>
      </c>
      <c r="E3" s="8" t="s">
        <v>19</v>
      </c>
      <c r="F3" s="8" t="s">
        <v>20</v>
      </c>
      <c r="G3" s="15" t="s">
        <v>27</v>
      </c>
      <c r="H3" s="16" t="s">
        <v>66</v>
      </c>
      <c r="I3" s="16" t="s">
        <v>61</v>
      </c>
      <c r="J3" s="16" t="s">
        <v>62</v>
      </c>
      <c r="K3" s="15" t="s">
        <v>69</v>
      </c>
      <c r="L3" s="16" t="s">
        <v>70</v>
      </c>
      <c r="M3" s="17" t="s">
        <v>71</v>
      </c>
      <c r="N3" s="8" t="s">
        <v>65</v>
      </c>
      <c r="O3" s="8" t="s">
        <v>37</v>
      </c>
      <c r="P3" s="8" t="s">
        <v>38</v>
      </c>
      <c r="Q3" s="8" t="s">
        <v>41</v>
      </c>
      <c r="R3" s="8" t="s">
        <v>39</v>
      </c>
      <c r="S3" s="8" t="s">
        <v>40</v>
      </c>
      <c r="T3" s="8" t="s">
        <v>42</v>
      </c>
      <c r="U3" s="8" t="s">
        <v>48</v>
      </c>
      <c r="V3" s="8" t="s">
        <v>28</v>
      </c>
      <c r="W3" s="25" t="s">
        <v>76</v>
      </c>
    </row>
    <row r="4" spans="1:29" ht="15.75" thickBot="1" x14ac:dyDescent="0.3">
      <c r="A4" s="8">
        <f>(1-Table36[idleRatio])/((Table36[maxTRpm1]-Table36[idleRpm])^2)</f>
        <v>4.9586776859504145E-7</v>
      </c>
      <c r="B4" s="8">
        <f>(Table36[maxT]-Table7[Nm])/Table36[maxT]/(Table36[maxPRpm]-Table36[maxTRpm])</f>
        <v>1.6433697662071408E-4</v>
      </c>
      <c r="C4" s="8">
        <f>(Table36[maxT]-Table7[Nm])/Table36[maxT]/(Table36[maxPRpm]-Table36[maxTRpm])^2</f>
        <v>5.4778992206904689E-7</v>
      </c>
      <c r="D4" s="8">
        <f>(Table36[maxPS]-Table36[PS])/MAX(1,Table36[ratedRpm]-Table36[maxPRpm])^2</f>
        <v>3.1250000000000001E-5</v>
      </c>
      <c r="E4" s="8">
        <f>Table36[maxPS]/1.36*9550/Table36[maxPRpm]</f>
        <v>598.94031141868504</v>
      </c>
      <c r="F4" s="8">
        <f>Table36[PS]/1.36*9550/Table36[ratedRpm]</f>
        <v>468.13725490196077</v>
      </c>
      <c r="G4" s="14">
        <f>Table7[Nm1000]/Table7[Nm2]</f>
        <v>1.2389881874432089</v>
      </c>
      <c r="H4" s="24">
        <f>Table36[maxTEco]/Table7[Nm2Eco]-1</f>
        <v>0.34575916230366488</v>
      </c>
      <c r="I4" s="24">
        <f>Table36[maxT]/Table7[Nm2]-1</f>
        <v>0.34575916230366488</v>
      </c>
      <c r="J4" s="24">
        <f>1-Table36[maxTRpm]/Table36[ratedRpm]</f>
        <v>0.33333333333333337</v>
      </c>
      <c r="K4" s="20">
        <f>Table36[maxPS]/1.36</f>
        <v>106.61764705882352</v>
      </c>
      <c r="L4" s="21">
        <f>Table36[PS]/1.36</f>
        <v>102.94117647058823</v>
      </c>
      <c r="M4" s="22">
        <f>Table36[fuelRatedRate]*1.1</f>
        <v>260.33333333333337</v>
      </c>
      <c r="N4" s="8">
        <f>(1-Table7[f1]*(Table36[maxTRpm1]-1000)^2)*Table36[maxTEco]</f>
        <v>580.01652892561981</v>
      </c>
      <c r="O4" s="8">
        <f>Table36[maxPSEco]/1.36*9550/Table36[maxPRpm]</f>
        <v>598.94031141868504</v>
      </c>
      <c r="P4" s="8">
        <f>Table36[PSEco]/1.36*9550/Table36[ratedRpm]</f>
        <v>468.13725490196077</v>
      </c>
      <c r="Q4" s="8">
        <f>(Table36[maxTEco]-Table7[NmEco])/Table36[maxTEco]/(Table36[maxPRpm]-Table36[maxTRpm])</f>
        <v>1.6433697662071408E-4</v>
      </c>
      <c r="R4" s="8">
        <f>(Table36[maxTEco]-Table7[NmEco])/Table36[maxTEco]/(Table36[maxPRpm]-Table36[maxTRpm])^2</f>
        <v>5.4778992206904689E-7</v>
      </c>
      <c r="S4" s="8">
        <f>(Table36[maxPSEco]-Table36[PSEco])/MAX(1,Table36[ratedRpm]-Table36[maxPRpm])^2</f>
        <v>3.1250000000000001E-5</v>
      </c>
      <c r="T4" s="8">
        <f>(1-Table7[f1]*(Table36[maxTRpm1]-Table36[idleRpm])^2)*Table36[maxT]</f>
        <v>535.5</v>
      </c>
      <c r="U4" s="8">
        <f>(1-Table7[f1]*(Table36[maxTRpm1]-Table36[idleRpm])^2)*Table36[maxTEco]</f>
        <v>535.5</v>
      </c>
      <c r="V4" s="8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&lt;!-- 1700: 145(145) | 2100: 140(140) | 1400..1400: 630(630) | 85 | 0 | 149 | 2,2 | 2200 | 1270: 213 --&gt;</v>
      </c>
      <c r="W4" s="25">
        <f>MAX(Table15[deltaEco])</f>
        <v>0</v>
      </c>
    </row>
    <row r="6" spans="1:29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9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2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2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18">
        <f>1.36*Table15[[#This Row],[rpm]]*Table15[[#This Row],[motor]]/9550</f>
        <v>0</v>
      </c>
      <c r="I7" s="18">
        <f>1.36*Table15[[#This Row],[rpm]]*Table15[[#This Row],[motorEco]]/9550</f>
        <v>0</v>
      </c>
      <c r="J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299.55774754346157</v>
      </c>
      <c r="K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&lt;!-- 1700: 145(145) | 2100: 140(140) | 1400..1400: 630(630) | 85 | 0 | 149 | 2,2 | 2200 | 1270: 213 --&gt;</v>
      </c>
      <c r="L7" s="7" t="str">
        <f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&lt;!-- 1700: 145(145) | 2100: 140(140) | 1400..1400: 630(630) | 85 | 0 | 149 | 2,2 | 2200 | 1270: 213 --&gt;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17.702479338842789</v>
      </c>
      <c r="O7" s="3">
        <f>MAX(0,(Table36[linearDown]*(1-Table7[f2]*(Table15[[#This Row],[rpm]]-Table36[maxTRpm]))+(1-Table36[linearDown])*(1-Table7[f3]*(Table15[[#This Row],[rpm]]-Table36[maxTRpm])^2))*Table36[maxT])</f>
        <v>0</v>
      </c>
      <c r="P7" s="3">
        <f>MAX(0,(Table36[maxPS]-Table7[f4]*(Table15[[#This Row],[rpm]]-Table36[maxPRpm])^2)/1.36*9550/MAX(1,Table15[[#This Row],[rpm]]))</f>
        <v>384018.8419117647</v>
      </c>
      <c r="Q7" s="3">
        <f>MAX(0,Table7[Nm2]*MIN(Table36[ratedRpm]/MAX(1,Table15[[#This Row],[rpm]]),1-(MAX(0,Table15[[#This Row],[rpm]]-Table36[ratedRpm])/Table36[fadeOut])^Table36[fadeOutExp]))</f>
        <v>468.13725490196077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17.702479338842789</v>
      </c>
      <c r="T7" s="3">
        <f>MAX(0,(Table36[linearDown]*(1-Table7[f2Eco]*(Table15[[#This Row],[rpm]]-Table36[maxTRpm]))+(1-Table36[linearDown])*(1-Table7[f3Eco]*(Table15[[#This Row],[rpm]]-Table36[maxTRpm])^2))*Table36[maxTEco])</f>
        <v>0</v>
      </c>
      <c r="U7" s="3">
        <f>MAX(0,(Table36[maxPSEco]-Table7[f4Eco]*(Table15[[#This Row],[rpm]]-Table36[maxPRpm])^2)/1.36*9550/MAX(1,Table15[[#This Row],[rpm]]))</f>
        <v>384018.8419117647</v>
      </c>
      <c r="V7" s="3">
        <f>MAX(0,Table7[Nm2Eco]*MIN(Table36[ratedRpm]/MAX(1,Table15[[#This Row],[rpm]]),1-(MAX(0,Table15[[#This Row],[rpm]]-Table36[ratedRpm])/Table36[fadeOut])^Table36[fadeOutExp]))</f>
        <v>468.13725490196077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9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323.59631387800619</v>
      </c>
      <c r="C8" s="13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323.59631387800619</v>
      </c>
      <c r="E8" s="13"/>
      <c r="F8" s="3">
        <f>Table36[Factor]*IF(Table15[[#This Row],[manualData]]&gt;0,Table15[[#This Row],[manualData]],Table15[[#This Row],[rawData]])</f>
        <v>323.59631387800619</v>
      </c>
      <c r="G8" s="3">
        <f>Table36[Factor]*IF(Table15[[#This Row],[manDataEco]]&gt;0,Table15[[#This Row],[manDataEco]],Table15[[#This Row],[rawDataEco]])</f>
        <v>323.59631387800619</v>
      </c>
      <c r="H8" s="18">
        <f>1.36*Table15[[#This Row],[rpm]]*Table15[[#This Row],[motor]]/9550</f>
        <v>16.128989047741463</v>
      </c>
      <c r="I8" s="18">
        <f>1.36*Table15[[#This Row],[rpm]]*Table15[[#This Row],[motorEco]]/9550</f>
        <v>16.128989047741463</v>
      </c>
      <c r="J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258.42282690854108</v>
      </c>
      <c r="K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motorTorque="324" fuelUsageRatio="258,4"/&gt;</v>
      </c>
      <c r="L8" s="7" t="str">
        <f>IF(Table15[[#This Row],[rpm]]&lt;1,Table7[xmlComment],IF(A7&gt;Table36[normRpm],"",IF(Table15[[#This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normRpm="0,159" torque="0,514"/&gt;</v>
      </c>
      <c r="M8" s="3">
        <f>(1-(1-Table15[[#This Row],[rpm]]/Table36[idleRpm])^2)*Table7[idleT]</f>
        <v>350.20588235294122</v>
      </c>
      <c r="N8" s="3">
        <f>MAX(0,(1-Table7[f1]*(Table36[maxTRpm1]-Table15[[#This Row],[rpm]])^2)*Table36[maxT])</f>
        <v>285.5826446280991</v>
      </c>
      <c r="O8" s="3">
        <f>MAX(0,(Table36[linearDown]*(1-Table7[f2]*(Table15[[#This Row],[rpm]]-Table36[maxTRpm]))+(1-Table36[linearDown])*(1-Table7[f3]*(Table15[[#This Row],[rpm]]-Table36[maxTRpm])^2))*Table36[maxT])</f>
        <v>249.51881487889176</v>
      </c>
      <c r="P8" s="3">
        <f>MAX(0,(Table36[maxPS]-Table7[f4]*(Table15[[#This Row],[rpm]]-Table36[maxPRpm])^2)/1.36*9550/MAX(1,Table15[[#This Row],[rpm]]))</f>
        <v>1766.4866727941178</v>
      </c>
      <c r="Q8" s="3">
        <f>MAX(0,Table7[Nm2]*MIN(Table36[ratedRpm]/MAX(1,Table15[[#This Row],[rpm]]),1-(MAX(0,Table15[[#This Row],[rpm]]-Table36[ratedRpm])/Table36[fadeOut])^Table36[fadeOutExp]))</f>
        <v>468.13725490196077</v>
      </c>
      <c r="R8" s="3">
        <f>(1-(1-Table15[[#This Row],[rpm]]/Table36[idleRpm])^2)*Table7[idleTEco]</f>
        <v>350.20588235294122</v>
      </c>
      <c r="S8" s="3">
        <f>MAX(0,(1-Table7[f1]*(Table36[maxTRpm1]-Table15[[#This Row],[rpm]])^2)*Table36[maxTEco])</f>
        <v>285.5826446280991</v>
      </c>
      <c r="T8" s="3">
        <f>MAX(0,(Table36[linearDown]*(1-Table7[f2Eco]*(Table15[[#This Row],[rpm]]-Table36[maxTRpm]))+(1-Table36[linearDown])*(1-Table7[f3Eco]*(Table15[[#This Row],[rpm]]-Table36[maxTRpm])^2))*Table36[maxTEco])</f>
        <v>249.51881487889176</v>
      </c>
      <c r="U8" s="3">
        <f>MAX(0,(Table36[maxPSEco]-Table7[f4Eco]*(Table15[[#This Row],[rpm]]-Table36[maxPRpm])^2)/1.36*9550/MAX(1,Table15[[#This Row],[rpm]]))</f>
        <v>1766.4866727941178</v>
      </c>
      <c r="V8" s="3">
        <f>MAX(0,Table7[Nm2Eco]*MIN(Table36[ratedRpm]/MAX(1,Table15[[#This Row],[rpm]]),1-(MAX(0,Table15[[#This Row],[rpm]]-Table36[ratedRpm])/Table36[fadeOut])^Table36[fadeOutExp]))</f>
        <v>468.13725490196077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2862.9346885813147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2862.9346885813147</v>
      </c>
      <c r="Y8" s="3">
        <f>ABS(Table15[[#This Row],[motor]]-Table15[[#This Row],[motorEco]])</f>
        <v>0</v>
      </c>
    </row>
    <row r="9" spans="1:29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484.31936858360257</v>
      </c>
      <c r="C9" s="13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484.31936858360257</v>
      </c>
      <c r="E9" s="13"/>
      <c r="F9" s="3">
        <f>Table36[Factor]*IF(Table15[[#This Row],[manualData]]&gt;0,Table15[[#This Row],[manualData]],Table15[[#This Row],[rawData]])</f>
        <v>484.31936858360257</v>
      </c>
      <c r="G9" s="3">
        <f>Table36[Factor]*IF(Table15[[#This Row],[manDataEco]]&gt;0,Table15[[#This Row],[manDataEco]],Table15[[#This Row],[rawDataEco]])</f>
        <v>484.31936858360257</v>
      </c>
      <c r="H9" s="18">
        <f>1.36*Table15[[#This Row],[rpm]]*Table15[[#This Row],[motor]]/9550</f>
        <v>48.279794648333997</v>
      </c>
      <c r="I9" s="18">
        <f>1.36*Table15[[#This Row],[rpm]]*Table15[[#This Row],[motorEco]]/9550</f>
        <v>48.279794648333997</v>
      </c>
      <c r="J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230.43605442176866</v>
      </c>
      <c r="K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motorTorque="484" fuelUsageRatio="230,4"/&gt;</v>
      </c>
      <c r="L9" s="7" t="str">
        <f>IF(Table15[[#This Row],[rpm]]&lt;1,Table7[xmlComment],IF(A8&gt;Table36[normRpm],"",IF(Table15[[#This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normRpm="0,318" torque="0,769"/&gt;</v>
      </c>
      <c r="M9" s="3">
        <f>(1-(1-Table15[[#This Row],[rpm]]/Table36[idleRpm])^2)*Table7[idleT]</f>
        <v>518.82352941176464</v>
      </c>
      <c r="N9" s="3">
        <f>MAX(0,(1-Table7[f1]*(Table36[maxTRpm1]-Table15[[#This Row],[rpm]])^2)*Table36[maxT])</f>
        <v>476.92561983471069</v>
      </c>
      <c r="O9" s="3">
        <f>MAX(0,(Table36[linearDown]*(1-Table7[f2]*(Table15[[#This Row],[rpm]]-Table36[maxTRpm]))+(1-Table36[linearDown])*(1-Table7[f3]*(Table15[[#This Row],[rpm]]-Table36[maxTRpm])^2))*Table36[maxT])</f>
        <v>460.89725105728525</v>
      </c>
      <c r="P9" s="3">
        <f>MAX(0,(Table36[maxPS]-Table7[f4]*(Table15[[#This Row],[rpm]]-Table36[maxPRpm])^2)/1.36*9550/MAX(1,Table15[[#This Row],[rpm]]))</f>
        <v>1141.0845588235295</v>
      </c>
      <c r="Q9" s="3">
        <f>MAX(0,Table7[Nm2]*MIN(Table36[ratedRpm]/MAX(1,Table15[[#This Row],[rpm]]),1-(MAX(0,Table15[[#This Row],[rpm]]-Table36[ratedRpm])/Table36[fadeOut])^Table36[fadeOutExp]))</f>
        <v>468.13725490196077</v>
      </c>
      <c r="R9" s="3">
        <f>(1-(1-Table15[[#This Row],[rpm]]/Table36[idleRpm])^2)*Table7[idleTEco]</f>
        <v>518.82352941176464</v>
      </c>
      <c r="S9" s="3">
        <f>MAX(0,(1-Table7[f1]*(Table36[maxTRpm1]-Table15[[#This Row],[rpm]])^2)*Table36[maxTEco])</f>
        <v>476.92561983471069</v>
      </c>
      <c r="T9" s="3">
        <f>MAX(0,(Table36[linearDown]*(1-Table7[f2Eco]*(Table15[[#This Row],[rpm]]-Table36[maxTRpm]))+(1-Table36[linearDown])*(1-Table7[f3Eco]*(Table15[[#This Row],[rpm]]-Table36[maxTRpm])^2))*Table36[maxTEco])</f>
        <v>460.89725105728525</v>
      </c>
      <c r="U9" s="3">
        <f>MAX(0,(Table36[maxPSEco]-Table7[f4Eco]*(Table15[[#This Row],[rpm]]-Table36[maxPRpm])^2)/1.36*9550/MAX(1,Table15[[#This Row],[rpm]]))</f>
        <v>1141.0845588235295</v>
      </c>
      <c r="V9" s="3">
        <f>MAX(0,Table7[Nm2Eco]*MIN(Table36[ratedRpm]/MAX(1,Table15[[#This Row],[rpm]]),1-(MAX(0,Table15[[#This Row],[rpm]]-Table36[ratedRpm])/Table36[fadeOut])^Table36[fadeOutExp]))</f>
        <v>468.13725490196077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1437.4567474048442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1437.4567474048442</v>
      </c>
      <c r="Y9" s="3">
        <f>ABS(Table15[[#This Row],[motor]]-Table15[[#This Row],[motorEco]])</f>
        <v>0</v>
      </c>
    </row>
    <row r="10" spans="1:29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551.90082644628092</v>
      </c>
      <c r="C10" s="13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551.90082644628092</v>
      </c>
      <c r="E10" s="13"/>
      <c r="F10" s="3">
        <f>Table36[Factor]*IF(Table15[[#This Row],[manualData]]&gt;0,Table15[[#This Row],[manualData]],Table15[[#This Row],[rawData]])</f>
        <v>551.90082644628092</v>
      </c>
      <c r="G10" s="3">
        <f>Table36[Factor]*IF(Table15[[#This Row],[manDataEco]]&gt;0,Table15[[#This Row],[manDataEco]],Table15[[#This Row],[rawDataEco]])</f>
        <v>551.90082644628092</v>
      </c>
      <c r="H10" s="18">
        <f>1.36*Table15[[#This Row],[rpm]]*Table15[[#This Row],[motor]]/9550</f>
        <v>70.73577084505213</v>
      </c>
      <c r="I10" s="18">
        <f>1.36*Table15[[#This Row],[rpm]]*Table15[[#This Row],[motorEco]]/9550</f>
        <v>70.73577084505213</v>
      </c>
      <c r="J1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220.34686318972032</v>
      </c>
      <c r="K1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motorTorque="552" fuelUsageRatio="220,3"/&gt;</v>
      </c>
      <c r="L10" s="7" t="str">
        <f>IF(Table15[[#This Row],[rpm]]&lt;1,Table7[xmlComment],IF(A9&gt;Table36[normRpm],"",IF(Table15[[#This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normRpm="0,409" torque="0,876"/&gt;</v>
      </c>
      <c r="M10" s="3">
        <f>(1-(1-Table15[[#This Row],[rpm]]/Table36[idleRpm])^2)*Table7[idleT]</f>
        <v>533.64705882352939</v>
      </c>
      <c r="N10" s="3">
        <f>MAX(0,(1-Table7[f1]*(Table36[maxTRpm1]-Table15[[#This Row],[rpm]])^2)*Table36[maxT])</f>
        <v>551.90082644628092</v>
      </c>
      <c r="O10" s="3">
        <f>MAX(0,(Table36[linearDown]*(1-Table7[f2]*(Table15[[#This Row],[rpm]]-Table36[maxTRpm]))+(1-Table36[linearDown])*(1-Table7[f3]*(Table15[[#This Row],[rpm]]-Table36[maxTRpm])^2))*Table36[maxT])</f>
        <v>543.72308727412519</v>
      </c>
      <c r="P10" s="3">
        <f>MAX(0,(Table36[maxPS]-Table7[f4]*(Table15[[#This Row],[rpm]]-Table36[maxPRpm])^2)/1.36*9550/MAX(1,Table15[[#This Row],[rpm]]))</f>
        <v>975.28594771241819</v>
      </c>
      <c r="Q10" s="3">
        <f>MAX(0,Table7[Nm2]*MIN(Table36[ratedRpm]/MAX(1,Table15[[#This Row],[rpm]]),1-(MAX(0,Table15[[#This Row],[rpm]]-Table36[ratedRpm])/Table36[fadeOut])^Table36[fadeOutExp]))</f>
        <v>468.13725490196077</v>
      </c>
      <c r="R10" s="3">
        <f>(1-(1-Table15[[#This Row],[rpm]]/Table36[idleRpm])^2)*Table7[idleTEco]</f>
        <v>533.64705882352939</v>
      </c>
      <c r="S10" s="3">
        <f>MAX(0,(1-Table7[f1]*(Table36[maxTRpm1]-Table15[[#This Row],[rpm]])^2)*Table36[maxTEco])</f>
        <v>551.90082644628092</v>
      </c>
      <c r="T10" s="3">
        <f>MAX(0,(Table36[linearDown]*(1-Table7[f2Eco]*(Table15[[#This Row],[rpm]]-Table36[maxTRpm]))+(1-Table36[linearDown])*(1-Table7[f3Eco]*(Table15[[#This Row],[rpm]]-Table36[maxTRpm])^2))*Table36[maxTEco])</f>
        <v>543.72308727412519</v>
      </c>
      <c r="U10" s="3">
        <f>MAX(0,(Table36[maxPSEco]-Table7[f4Eco]*(Table15[[#This Row],[rpm]]-Table36[maxPRpm])^2)/1.36*9550/MAX(1,Table15[[#This Row],[rpm]]))</f>
        <v>975.28594771241819</v>
      </c>
      <c r="V10" s="3">
        <f>MAX(0,Table7[Nm2Eco]*MIN(Table36[ratedRpm]/MAX(1,Table15[[#This Row],[rpm]]),1-(MAX(0,Table15[[#This Row],[rpm]]-Table36[ratedRpm])/Table36[fadeOut])^Table36[fadeOutExp]))</f>
        <v>468.13725490196077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1120.6838715878505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1120.6838715878505</v>
      </c>
      <c r="Y10" s="3">
        <f>ABS(Table15[[#This Row],[motor]]-Table15[[#This Row],[motorEco]])</f>
        <v>0</v>
      </c>
    </row>
    <row r="11" spans="1:29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580.01652892561981</v>
      </c>
      <c r="C11" s="13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580.01652892561981</v>
      </c>
      <c r="E11" s="13"/>
      <c r="F11" s="3">
        <f>Table36[Factor]*IF(Table15[[#This Row],[manualData]]&gt;0,Table15[[#This Row],[manualData]],Table15[[#This Row],[rawData]])</f>
        <v>580.01652892561981</v>
      </c>
      <c r="G11" s="3">
        <f>Table36[Factor]*IF(Table15[[#This Row],[manDataEco]]&gt;0,Table15[[#This Row],[manDataEco]],Table15[[#This Row],[rawDataEco]])</f>
        <v>580.01652892561981</v>
      </c>
      <c r="H11" s="18">
        <f>1.36*Table15[[#This Row],[rpm]]*Table15[[#This Row],[motor]]/9550</f>
        <v>82.599212496213923</v>
      </c>
      <c r="I11" s="18">
        <f>1.36*Table15[[#This Row],[rpm]]*Table15[[#This Row],[motorEco]]/9550</f>
        <v>82.599212496213923</v>
      </c>
      <c r="J1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216.91224489795917</v>
      </c>
      <c r="K1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motorTorque="580" fuelUsageRatio="216,9"/&gt;</v>
      </c>
      <c r="L11" s="7" t="str">
        <f>IF(Table15[[#This Row],[rpm]]&lt;1,Table7[xmlComment],IF(A10&gt;Table36[normRpm],"",IF(Table15[[#This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normRpm="0,455" torque="0,921"/&gt;</v>
      </c>
      <c r="M11" s="3">
        <f>(1-(1-Table15[[#This Row],[rpm]]/Table36[idleRpm])^2)*Table7[idleT]</f>
        <v>518.82352941176464</v>
      </c>
      <c r="N11" s="3">
        <f>MAX(0,(1-Table7[f1]*(Table36[maxTRpm1]-Table15[[#This Row],[rpm]])^2)*Table36[maxT])</f>
        <v>580.01652892561981</v>
      </c>
      <c r="O11" s="3">
        <f>MAX(0,(Table36[linearDown]*(1-Table7[f2]*(Table15[[#This Row],[rpm]]-Table36[maxTRpm]))+(1-Table36[linearDown])*(1-Table7[f3]*(Table15[[#This Row],[rpm]]-Table36[maxTRpm])^2))*Table36[maxT])</f>
        <v>574.78277585544004</v>
      </c>
      <c r="P11" s="3">
        <f>MAX(0,(Table36[maxPS]-Table7[f4]*(Table15[[#This Row],[rpm]]-Table36[maxPRpm])^2)/1.36*9550/MAX(1,Table15[[#This Row],[rpm]]))</f>
        <v>910.67325367647049</v>
      </c>
      <c r="Q11" s="3">
        <f>MAX(0,Table7[Nm2]*MIN(Table36[ratedRpm]/MAX(1,Table15[[#This Row],[rpm]]),1-(MAX(0,Table15[[#This Row],[rpm]]-Table36[ratedRpm])/Table36[fadeOut])^Table36[fadeOutExp]))</f>
        <v>468.13725490196077</v>
      </c>
      <c r="R11" s="3">
        <f>(1-(1-Table15[[#This Row],[rpm]]/Table36[idleRpm])^2)*Table7[idleTEco]</f>
        <v>518.82352941176464</v>
      </c>
      <c r="S11" s="3">
        <f>MAX(0,(1-Table7[f1]*(Table36[maxTRpm1]-Table15[[#This Row],[rpm]])^2)*Table36[maxTEco])</f>
        <v>580.01652892561981</v>
      </c>
      <c r="T11" s="3">
        <f>MAX(0,(Table36[linearDown]*(1-Table7[f2Eco]*(Table15[[#This Row],[rpm]]-Table36[maxTRpm]))+(1-Table36[linearDown])*(1-Table7[f3Eco]*(Table15[[#This Row],[rpm]]-Table36[maxTRpm])^2))*Table36[maxTEco])</f>
        <v>574.78277585544004</v>
      </c>
      <c r="U11" s="3">
        <f>MAX(0,(Table36[maxPSEco]-Table7[f4Eco]*(Table15[[#This Row],[rpm]]-Table36[maxPRpm])^2)/1.36*9550/MAX(1,Table15[[#This Row],[rpm]]))</f>
        <v>910.67325367647049</v>
      </c>
      <c r="V11" s="3">
        <f>MAX(0,Table7[Nm2Eco]*MIN(Table36[ratedRpm]/MAX(1,Table15[[#This Row],[rpm]]),1-(MAX(0,Table15[[#This Row],[rpm]]-Table36[ratedRpm])/Table36[fadeOut])^Table36[fadeOutExp]))</f>
        <v>468.13725490196077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1009.813365051903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1009.813365051903</v>
      </c>
      <c r="Y11" s="3">
        <f>ABS(Table15[[#This Row],[motor]]-Table15[[#This Row],[motorEco]])</f>
        <v>0</v>
      </c>
    </row>
    <row r="12" spans="1:29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601.88429752066122</v>
      </c>
      <c r="C12" s="13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601.88429752066122</v>
      </c>
      <c r="E12" s="13"/>
      <c r="F12" s="3">
        <f>Table36[Factor]*IF(Table15[[#This Row],[manualData]]&gt;0,Table15[[#This Row],[manualData]],Table15[[#This Row],[rawData]])</f>
        <v>601.88429752066122</v>
      </c>
      <c r="G12" s="3">
        <f>Table36[Factor]*IF(Table15[[#This Row],[manDataEco]]&gt;0,Table15[[#This Row],[manDataEco]],Table15[[#This Row],[rawDataEco]])</f>
        <v>601.88429752066122</v>
      </c>
      <c r="H12" s="18">
        <f>1.36*Table15[[#This Row],[rpm]]*Table15[[#This Row],[motor]]/9550</f>
        <v>94.284702522608285</v>
      </c>
      <c r="I12" s="18">
        <f>1.36*Table15[[#This Row],[rpm]]*Table15[[#This Row],[motorEco]]/9550</f>
        <v>94.284702522608285</v>
      </c>
      <c r="J1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214.5509448223734</v>
      </c>
      <c r="K1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motorTorque="602" fuelUsageRatio="214,6"/&gt;</v>
      </c>
      <c r="L12" s="7" t="str">
        <f>IF(Table15[[#This Row],[rpm]]&lt;1,Table7[xmlComment],IF(A11&gt;Table36[normRpm],"",IF(Table15[[#This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normRpm="0,5" torque="0,955"/&gt;</v>
      </c>
      <c r="M12" s="3">
        <f>(1-(1-Table15[[#This Row],[rpm]]/Table36[idleRpm])^2)*Table7[idleT]</f>
        <v>489.1764705882353</v>
      </c>
      <c r="N12" s="3">
        <f>MAX(0,(1-Table7[f1]*(Table36[maxTRpm1]-Table15[[#This Row],[rpm]])^2)*Table36[maxT])</f>
        <v>601.88429752066122</v>
      </c>
      <c r="O12" s="3">
        <f>MAX(0,(Table36[linearDown]*(1-Table7[f2]*(Table15[[#This Row],[rpm]]-Table36[maxTRpm]))+(1-Table36[linearDown])*(1-Table7[f3]*(Table15[[#This Row],[rpm]]-Table36[maxTRpm])^2))*Table36[maxT])</f>
        <v>598.94031141868504</v>
      </c>
      <c r="P12" s="3">
        <f>MAX(0,(Table36[maxPS]-Table7[f4]*(Table15[[#This Row],[rpm]]-Table36[maxPRpm])^2)/1.36*9550/MAX(1,Table15[[#This Row],[rpm]]))</f>
        <v>853.81851604278074</v>
      </c>
      <c r="Q12" s="3">
        <f>MAX(0,Table7[Nm2]*MIN(Table36[ratedRpm]/MAX(1,Table15[[#This Row],[rpm]]),1-(MAX(0,Table15[[#This Row],[rpm]]-Table36[ratedRpm])/Table36[fadeOut])^Table36[fadeOutExp]))</f>
        <v>468.13725490196077</v>
      </c>
      <c r="R12" s="3">
        <f>(1-(1-Table15[[#This Row],[rpm]]/Table36[idleRpm])^2)*Table7[idleTEco]</f>
        <v>489.1764705882353</v>
      </c>
      <c r="S12" s="3">
        <f>MAX(0,(1-Table7[f1]*(Table36[maxTRpm1]-Table15[[#This Row],[rpm]])^2)*Table36[maxTEco])</f>
        <v>601.88429752066122</v>
      </c>
      <c r="T12" s="3">
        <f>MAX(0,(Table36[linearDown]*(1-Table7[f2Eco]*(Table15[[#This Row],[rpm]]-Table36[maxTRpm]))+(1-Table36[linearDown])*(1-Table7[f3Eco]*(Table15[[#This Row],[rpm]]-Table36[maxTRpm])^2))*Table36[maxTEco])</f>
        <v>598.94031141868504</v>
      </c>
      <c r="U12" s="3">
        <f>MAX(0,(Table36[maxPSEco]-Table7[f4Eco]*(Table15[[#This Row],[rpm]]-Table36[maxPRpm])^2)/1.36*9550/MAX(1,Table15[[#This Row],[rpm]]))</f>
        <v>853.81851604278074</v>
      </c>
      <c r="V12" s="3">
        <f>MAX(0,Table7[Nm2Eco]*MIN(Table36[ratedRpm]/MAX(1,Table15[[#This Row],[rpm]]),1-(MAX(0,Table15[[#This Row],[rpm]]-Table36[ratedRpm])/Table36[fadeOut])^Table36[fadeOutExp]))</f>
        <v>468.13725490196077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919.10113243158207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919.10113243158207</v>
      </c>
      <c r="Y12" s="3">
        <f>ABS(Table15[[#This Row],[motor]]-Table15[[#This Row],[motorEco]])</f>
        <v>0</v>
      </c>
    </row>
    <row r="13" spans="1:29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617.50413223140504</v>
      </c>
      <c r="C13" s="13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617.50413223140504</v>
      </c>
      <c r="E13" s="13"/>
      <c r="F13" s="3">
        <f>Table36[Factor]*IF(Table15[[#This Row],[manualData]]&gt;0,Table15[[#This Row],[manualData]],Table15[[#This Row],[rawData]])</f>
        <v>617.50413223140504</v>
      </c>
      <c r="G13" s="3">
        <f>Table36[Factor]*IF(Table15[[#This Row],[manDataEco]]&gt;0,Table15[[#This Row],[manDataEco]],Table15[[#This Row],[rawDataEco]])</f>
        <v>617.50413223140504</v>
      </c>
      <c r="H13" s="18">
        <f>1.36*Table15[[#This Row],[rpm]]*Table15[[#This Row],[motor]]/9550</f>
        <v>105.52531348708411</v>
      </c>
      <c r="I13" s="18">
        <f>1.36*Table15[[#This Row],[rpm]]*Table15[[#This Row],[motorEco]]/9550</f>
        <v>105.52531348708411</v>
      </c>
      <c r="J1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213.26296296296297</v>
      </c>
      <c r="K1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motorTorque="618" fuelUsageRatio="213,3"/&gt;</v>
      </c>
      <c r="L13" s="7" t="str">
        <f>IF(Table15[[#This Row],[rpm]]&lt;1,Table7[xmlComment],IF(A12&gt;Table36[normRpm],"",IF(Table15[[#This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normRpm="0,545" torque="0,98"/&gt;</v>
      </c>
      <c r="M13" s="3">
        <f>(1-(1-Table15[[#This Row],[rpm]]/Table36[idleRpm])^2)*Table7[idleT]</f>
        <v>444.70588235294116</v>
      </c>
      <c r="N13" s="3">
        <f>MAX(0,(1-Table7[f1]*(Table36[maxTRpm1]-Table15[[#This Row],[rpm]])^2)*Table36[maxT])</f>
        <v>617.50413223140504</v>
      </c>
      <c r="O13" s="3">
        <f>MAX(0,(Table36[linearDown]*(1-Table7[f2]*(Table15[[#This Row],[rpm]]-Table36[maxTRpm]))+(1-Table36[linearDown])*(1-Table7[f3]*(Table15[[#This Row],[rpm]]-Table36[maxTRpm])^2))*Table36[maxT])</f>
        <v>616.19569396385998</v>
      </c>
      <c r="P13" s="3">
        <f>MAX(0,(Table36[maxPS]-Table7[f4]*(Table15[[#This Row],[rpm]]-Table36[maxPRpm])^2)/1.36*9550/MAX(1,Table15[[#This Row],[rpm]]))</f>
        <v>802.7822457107842</v>
      </c>
      <c r="Q13" s="3">
        <f>MAX(0,Table7[Nm2]*MIN(Table36[ratedRpm]/MAX(1,Table15[[#This Row],[rpm]]),1-(MAX(0,Table15[[#This Row],[rpm]]-Table36[ratedRpm])/Table36[fadeOut])^Table36[fadeOutExp]))</f>
        <v>468.13725490196077</v>
      </c>
      <c r="R13" s="3">
        <f>(1-(1-Table15[[#This Row],[rpm]]/Table36[idleRpm])^2)*Table7[idleTEco]</f>
        <v>444.70588235294116</v>
      </c>
      <c r="S13" s="3">
        <f>MAX(0,(1-Table7[f1]*(Table36[maxTRpm1]-Table15[[#This Row],[rpm]])^2)*Table36[maxTEco])</f>
        <v>617.50413223140504</v>
      </c>
      <c r="T13" s="3">
        <f>MAX(0,(Table36[linearDown]*(1-Table7[f2Eco]*(Table15[[#This Row],[rpm]]-Table36[maxTRpm]))+(1-Table36[linearDown])*(1-Table7[f3Eco]*(Table15[[#This Row],[rpm]]-Table36[maxTRpm])^2))*Table36[maxTEco])</f>
        <v>616.19569396385998</v>
      </c>
      <c r="U13" s="3">
        <f>MAX(0,(Table36[maxPSEco]-Table7[f4Eco]*(Table15[[#This Row],[rpm]]-Table36[maxPRpm])^2)/1.36*9550/MAX(1,Table15[[#This Row],[rpm]]))</f>
        <v>802.7822457107842</v>
      </c>
      <c r="V13" s="3">
        <f>MAX(0,Table7[Nm2Eco]*MIN(Table36[ratedRpm]/MAX(1,Table15[[#This Row],[rpm]]),1-(MAX(0,Table15[[#This Row],[rpm]]-Table36[ratedRpm])/Table36[fadeOut])^Table36[fadeOutExp]))</f>
        <v>468.13725490196077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843.50760524798147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843.50760524798147</v>
      </c>
      <c r="Y13" s="3">
        <f>ABS(Table15[[#This Row],[motor]]-Table15[[#This Row],[motorEco]])</f>
        <v>0</v>
      </c>
    </row>
    <row r="14" spans="1:29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626.87603305785126</v>
      </c>
      <c r="C14" s="13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626.87603305785126</v>
      </c>
      <c r="E14" s="13"/>
      <c r="F14" s="3">
        <f>Table36[Factor]*IF(Table15[[#This Row],[manualData]]&gt;0,Table15[[#This Row],[manualData]],Table15[[#This Row],[rawData]])</f>
        <v>626.87603305785126</v>
      </c>
      <c r="G14" s="3">
        <f>Table36[Factor]*IF(Table15[[#This Row],[manDataEco]]&gt;0,Table15[[#This Row],[manDataEco]],Table15[[#This Row],[rawDataEco]])</f>
        <v>626.87603305785126</v>
      </c>
      <c r="H14" s="18">
        <f>1.36*Table15[[#This Row],[rpm]]*Table15[[#This Row],[motor]]/9550</f>
        <v>116.05411795249019</v>
      </c>
      <c r="I14" s="18">
        <f>1.36*Table15[[#This Row],[rpm]]*Table15[[#This Row],[motorEco]]/9550</f>
        <v>116.05411795249019</v>
      </c>
      <c r="J1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213.03091885614748</v>
      </c>
      <c r="K1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motorTorque="627" fuelUsageRatio="213"/&gt;</v>
      </c>
      <c r="L14" s="7" t="str">
        <f>IF(Table15[[#This Row],[rpm]]&lt;1,Table7[xmlComment],IF(A13&gt;Table36[normRpm],"",IF(Table15[[#This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normRpm="0,591" torque="0,995"/&gt;</v>
      </c>
      <c r="M14" s="3">
        <f>(1-(1-Table15[[#This Row],[rpm]]/Table36[idleRpm])^2)*Table7[idleT]</f>
        <v>385.41176470588243</v>
      </c>
      <c r="N14" s="3">
        <f>MAX(0,(1-Table7[f1]*(Table36[maxTRpm1]-Table15[[#This Row],[rpm]])^2)*Table36[maxT])</f>
        <v>626.87603305785126</v>
      </c>
      <c r="O14" s="3">
        <f>MAX(0,(Table36[linearDown]*(1-Table7[f2]*(Table15[[#This Row],[rpm]]-Table36[maxTRpm]))+(1-Table36[linearDown])*(1-Table7[f3]*(Table15[[#This Row],[rpm]]-Table36[maxTRpm])^2))*Table36[maxT])</f>
        <v>626.54892349096508</v>
      </c>
      <c r="P14" s="3">
        <f>MAX(0,(Table36[maxPS]-Table7[f4]*(Table15[[#This Row],[rpm]]-Table36[maxPRpm])^2)/1.36*9550/MAX(1,Table15[[#This Row],[rpm]]))</f>
        <v>756.22171945701348</v>
      </c>
      <c r="Q14" s="3">
        <f>MAX(0,Table7[Nm2]*MIN(Table36[ratedRpm]/MAX(1,Table15[[#This Row],[rpm]]),1-(MAX(0,Table15[[#This Row],[rpm]]-Table36[ratedRpm])/Table36[fadeOut])^Table36[fadeOutExp]))</f>
        <v>468.13725490196077</v>
      </c>
      <c r="R14" s="3">
        <f>(1-(1-Table15[[#This Row],[rpm]]/Table36[idleRpm])^2)*Table7[idleTEco]</f>
        <v>385.41176470588243</v>
      </c>
      <c r="S14" s="3">
        <f>MAX(0,(1-Table7[f1]*(Table36[maxTRpm1]-Table15[[#This Row],[rpm]])^2)*Table36[maxTEco])</f>
        <v>626.87603305785126</v>
      </c>
      <c r="T14" s="3">
        <f>MAX(0,(Table36[linearDown]*(1-Table7[f2Eco]*(Table15[[#This Row],[rpm]]-Table36[maxTRpm]))+(1-Table36[linearDown])*(1-Table7[f3Eco]*(Table15[[#This Row],[rpm]]-Table36[maxTRpm])^2))*Table36[maxTEco])</f>
        <v>626.54892349096508</v>
      </c>
      <c r="U14" s="3">
        <f>MAX(0,(Table36[maxPSEco]-Table7[f4Eco]*(Table15[[#This Row],[rpm]]-Table36[maxPRpm])^2)/1.36*9550/MAX(1,Table15[[#This Row],[rpm]]))</f>
        <v>756.22171945701348</v>
      </c>
      <c r="V14" s="3">
        <f>MAX(0,Table7[Nm2Eco]*MIN(Table36[ratedRpm]/MAX(1,Table15[[#This Row],[rpm]]),1-(MAX(0,Table15[[#This Row],[rpm]]-Table36[ratedRpm])/Table36[fadeOut])^Table36[fadeOutExp]))</f>
        <v>468.13725490196077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779.54385147724247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779.54385147724247</v>
      </c>
      <c r="Y14" s="3">
        <f>ABS(Table15[[#This Row],[motor]]-Table15[[#This Row],[motorEco]])</f>
        <v>0</v>
      </c>
    </row>
    <row r="15" spans="1:29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630</v>
      </c>
      <c r="C15" s="13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630</v>
      </c>
      <c r="E15" s="13"/>
      <c r="F15" s="3">
        <f>Table36[Factor]*IF(Table15[[#This Row],[manualData]]&gt;0,Table15[[#This Row],[manualData]],Table15[[#This Row],[rawData]])</f>
        <v>630</v>
      </c>
      <c r="G15" s="3">
        <f>Table36[Factor]*IF(Table15[[#This Row],[manDataEco]]&gt;0,Table15[[#This Row],[manDataEco]],Table15[[#This Row],[rawDataEco]])</f>
        <v>630</v>
      </c>
      <c r="H15" s="18">
        <f>1.36*Table15[[#This Row],[rpm]]*Table15[[#This Row],[motor]]/9550</f>
        <v>125.60418848167542</v>
      </c>
      <c r="I15" s="18">
        <f>1.36*Table15[[#This Row],[rpm]]*Table15[[#This Row],[motorEco]]/9550</f>
        <v>125.60418848167542</v>
      </c>
      <c r="J1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213.58058740988048</v>
      </c>
      <c r="K1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motorTorque="630" fuelUsageRatio="213,6"/&gt;</v>
      </c>
      <c r="L15" s="7" t="str">
        <f>IF(Table15[[#This Row],[rpm]]&lt;1,Table7[xmlComment],IF(A14&gt;Table36[normRpm],"",IF(Table15[[#This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normRpm="0,636" torque="1"/&gt;</v>
      </c>
      <c r="M15" s="3">
        <f>(1-(1-Table15[[#This Row],[rpm]]/Table36[idleRpm])^2)*Table7[idleT]</f>
        <v>311.29411764705884</v>
      </c>
      <c r="N15" s="3">
        <f>MAX(0,(1-Table7[f1]*(Table36[maxTRpm1]-Table15[[#This Row],[rpm]])^2)*Table36[maxT])</f>
        <v>630</v>
      </c>
      <c r="O15" s="3">
        <f>MAX(0,(Table36[linearDown]*(1-Table7[f2]*(Table15[[#This Row],[rpm]]-Table36[maxTRpm]))+(1-Table36[linearDown])*(1-Table7[f3]*(Table15[[#This Row],[rpm]]-Table36[maxTRpm])^2))*Table36[maxT])</f>
        <v>630</v>
      </c>
      <c r="P15" s="3">
        <f>MAX(0,(Table36[maxPS]-Table7[f4]*(Table15[[#This Row],[rpm]]-Table36[maxPRpm])^2)/1.36*9550/MAX(1,Table15[[#This Row],[rpm]]))</f>
        <v>713.17784926470586</v>
      </c>
      <c r="Q15" s="3">
        <f>MAX(0,Table7[Nm2]*MIN(Table36[ratedRpm]/MAX(1,Table15[[#This Row],[rpm]]),1-(MAX(0,Table15[[#This Row],[rpm]]-Table36[ratedRpm])/Table36[fadeOut])^Table36[fadeOutExp]))</f>
        <v>468.13725490196077</v>
      </c>
      <c r="R15" s="3">
        <f>(1-(1-Table15[[#This Row],[rpm]]/Table36[idleRpm])^2)*Table7[idleTEco]</f>
        <v>311.29411764705884</v>
      </c>
      <c r="S15" s="3">
        <f>MAX(0,(1-Table7[f1]*(Table36[maxTRpm1]-Table15[[#This Row],[rpm]])^2)*Table36[maxTEco])</f>
        <v>630</v>
      </c>
      <c r="T15" s="3">
        <f>MAX(0,(Table36[linearDown]*(1-Table7[f2Eco]*(Table15[[#This Row],[rpm]]-Table36[maxTRpm]))+(1-Table36[linearDown])*(1-Table7[f3Eco]*(Table15[[#This Row],[rpm]]-Table36[maxTRpm])^2))*Table36[maxTEco])</f>
        <v>630</v>
      </c>
      <c r="U15" s="3">
        <f>MAX(0,(Table36[maxPSEco]-Table7[f4Eco]*(Table15[[#This Row],[rpm]]-Table36[maxPRpm])^2)/1.36*9550/MAX(1,Table15[[#This Row],[rpm]]))</f>
        <v>713.17784926470586</v>
      </c>
      <c r="V15" s="3">
        <f>MAX(0,Table7[Nm2Eco]*MIN(Table36[ratedRpm]/MAX(1,Table15[[#This Row],[rpm]]),1-(MAX(0,Table15[[#This Row],[rpm]]-Table36[ratedRpm])/Table36[fadeOut])^Table36[fadeOutExp]))</f>
        <v>468.13725490196077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724.71777681660876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724.71777681660876</v>
      </c>
      <c r="Y15" s="3">
        <f>ABS(Table15[[#This Row],[motor]]-Table15[[#This Row],[motorEco]])</f>
        <v>0</v>
      </c>
    </row>
    <row r="16" spans="1:29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626.54892349096508</v>
      </c>
      <c r="C16" s="13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626.54892349096508</v>
      </c>
      <c r="E16" s="13"/>
      <c r="F16" s="3">
        <f>Table36[Factor]*IF(Table15[[#This Row],[manualData]]&gt;0,Table15[[#This Row],[manualData]],Table15[[#This Row],[rawData]])</f>
        <v>626.54892349096508</v>
      </c>
      <c r="G16" s="3">
        <f>Table36[Factor]*IF(Table15[[#This Row],[manDataEco]]&gt;0,Table15[[#This Row],[manDataEco]],Table15[[#This Row],[rawDataEco]])</f>
        <v>626.54892349096508</v>
      </c>
      <c r="H16" s="18">
        <f>1.36*Table15[[#This Row],[rpm]]*Table15[[#This Row],[motor]]/9550</f>
        <v>133.8387229237245</v>
      </c>
      <c r="I16" s="18">
        <f>1.36*Table15[[#This Row],[rpm]]*Table15[[#This Row],[motorEco]]/9550</f>
        <v>133.8387229237245</v>
      </c>
      <c r="J1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214.81734165577976</v>
      </c>
      <c r="K1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motorTorque="627" fuelUsageRatio="214,8"/&gt;</v>
      </c>
      <c r="L16" s="7" t="str">
        <f>IF(Table15[[#This Row],[rpm]]&lt;1,Table7[xmlComment],IF(A15&gt;Table36[normRpm],"",IF(Table15[[#This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normRpm="0,682" torque="0,995"/&gt;</v>
      </c>
      <c r="M16" s="3">
        <f>(1-(1-Table15[[#This Row],[rpm]]/Table36[idleRpm])^2)*Table7[idleT]</f>
        <v>222.35294117647061</v>
      </c>
      <c r="N16" s="3">
        <f>MAX(0,(1-Table7[f1]*(Table36[maxTRpm1]-Table15[[#This Row],[rpm]])^2)*Table36[maxT])</f>
        <v>626.87603305785126</v>
      </c>
      <c r="O16" s="3">
        <f>MAX(0,(Table36[linearDown]*(1-Table7[f2]*(Table15[[#This Row],[rpm]]-Table36[maxTRpm]))+(1-Table36[linearDown])*(1-Table7[f3]*(Table15[[#This Row],[rpm]]-Table36[maxTRpm])^2))*Table36[maxT])</f>
        <v>626.54892349096508</v>
      </c>
      <c r="P16" s="3">
        <f>MAX(0,(Table36[maxPS]-Table7[f4]*(Table15[[#This Row],[rpm]]-Table36[maxPRpm])^2)/1.36*9550/MAX(1,Table15[[#This Row],[rpm]]))</f>
        <v>672.94730392156862</v>
      </c>
      <c r="Q16" s="3">
        <f>MAX(0,Table7[Nm2]*MIN(Table36[ratedRpm]/MAX(1,Table15[[#This Row],[rpm]]),1-(MAX(0,Table15[[#This Row],[rpm]]-Table36[ratedRpm])/Table36[fadeOut])^Table36[fadeOutExp]))</f>
        <v>468.13725490196077</v>
      </c>
      <c r="R16" s="3">
        <f>(1-(1-Table15[[#This Row],[rpm]]/Table36[idleRpm])^2)*Table7[idleTEco]</f>
        <v>222.35294117647061</v>
      </c>
      <c r="S16" s="3">
        <f>MAX(0,(1-Table7[f1]*(Table36[maxTRpm1]-Table15[[#This Row],[rpm]])^2)*Table36[maxTEco])</f>
        <v>626.87603305785126</v>
      </c>
      <c r="T16" s="3">
        <f>MAX(0,(Table36[linearDown]*(1-Table7[f2Eco]*(Table15[[#This Row],[rpm]]-Table36[maxTRpm]))+(1-Table36[linearDown])*(1-Table7[f3Eco]*(Table15[[#This Row],[rpm]]-Table36[maxTRpm])^2))*Table36[maxTEco])</f>
        <v>626.54892349096508</v>
      </c>
      <c r="U16" s="3">
        <f>MAX(0,(Table36[maxPSEco]-Table7[f4Eco]*(Table15[[#This Row],[rpm]]-Table36[maxPRpm])^2)/1.36*9550/MAX(1,Table15[[#This Row],[rpm]]))</f>
        <v>672.94730392156862</v>
      </c>
      <c r="V16" s="3">
        <f>MAX(0,Table7[Nm2Eco]*MIN(Table36[ratedRpm]/MAX(1,Table15[[#This Row],[rpm]]),1-(MAX(0,Table15[[#This Row],[rpm]]-Table36[ratedRpm])/Table36[fadeOut])^Table36[fadeOutExp]))</f>
        <v>468.13725490196077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677.20184544405993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677.20184544405993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616.19569396385998</v>
      </c>
      <c r="C17" s="13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616.19569396385998</v>
      </c>
      <c r="E17" s="13"/>
      <c r="F17" s="3">
        <f>Table36[Factor]*IF(Table15[[#This Row],[manualData]]&gt;0,Table15[[#This Row],[manualData]],Table15[[#This Row],[rawData]])</f>
        <v>616.19569396385998</v>
      </c>
      <c r="G17" s="3">
        <f>Table36[Factor]*IF(Table15[[#This Row],[manDataEco]]&gt;0,Table15[[#This Row],[manDataEco]],Table15[[#This Row],[rawDataEco]])</f>
        <v>616.19569396385998</v>
      </c>
      <c r="H17" s="18">
        <f>1.36*Table15[[#This Row],[rpm]]*Table15[[#This Row],[motor]]/9550</f>
        <v>140.40228587071826</v>
      </c>
      <c r="I17" s="18">
        <f>1.36*Table15[[#This Row],[rpm]]*Table15[[#This Row],[motorEco]]/9550</f>
        <v>140.40228587071826</v>
      </c>
      <c r="J1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216.74118159384525</v>
      </c>
      <c r="K1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motorTorque="616" fuelUsageRatio="216,7"/&gt;</v>
      </c>
      <c r="L17" s="7" t="str">
        <f>IF(Table15[[#This Row],[rpm]]&lt;1,Table7[xmlComment],IF(A16&gt;Table36[normRpm],"",IF(Table15[[#This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normRpm="0,727" torque="0,978"/&gt;</v>
      </c>
      <c r="M17" s="3">
        <f>(1-(1-Table15[[#This Row],[rpm]]/Table36[idleRpm])^2)*Table7[idleT]</f>
        <v>118.58823529411768</v>
      </c>
      <c r="N17" s="3">
        <f>MAX(0,(1-Table7[f1]*(Table36[maxTRpm1]-Table15[[#This Row],[rpm]])^2)*Table36[maxT])</f>
        <v>617.50413223140504</v>
      </c>
      <c r="O17" s="3">
        <f>MAX(0,(Table36[linearDown]*(1-Table7[f2]*(Table15[[#This Row],[rpm]]-Table36[maxTRpm]))+(1-Table36[linearDown])*(1-Table7[f3]*(Table15[[#This Row],[rpm]]-Table36[maxTRpm])^2))*Table36[maxT])</f>
        <v>616.19569396385998</v>
      </c>
      <c r="P17" s="3">
        <f>MAX(0,(Table36[maxPS]-Table7[f4]*(Table15[[#This Row],[rpm]]-Table36[maxPRpm])^2)/1.36*9550/MAX(1,Table15[[#This Row],[rpm]]))</f>
        <v>635.00258501838232</v>
      </c>
      <c r="Q17" s="3">
        <f>MAX(0,Table7[Nm2]*MIN(Table36[ratedRpm]/MAX(1,Table15[[#This Row],[rpm]]),1-(MAX(0,Table15[[#This Row],[rpm]]-Table36[ratedRpm])/Table36[fadeOut])^Table36[fadeOutExp]))</f>
        <v>468.13725490196077</v>
      </c>
      <c r="R17" s="3">
        <f>(1-(1-Table15[[#This Row],[rpm]]/Table36[idleRpm])^2)*Table7[idleTEco]</f>
        <v>118.58823529411768</v>
      </c>
      <c r="S17" s="3">
        <f>MAX(0,(1-Table7[f1]*(Table36[maxTRpm1]-Table15[[#This Row],[rpm]])^2)*Table36[maxTEco])</f>
        <v>617.50413223140504</v>
      </c>
      <c r="T17" s="3">
        <f>MAX(0,(Table36[linearDown]*(1-Table7[f2Eco]*(Table15[[#This Row],[rpm]]-Table36[maxTRpm]))+(1-Table36[linearDown])*(1-Table7[f3Eco]*(Table15[[#This Row],[rpm]]-Table36[maxTRpm])^2))*Table36[maxTEco])</f>
        <v>616.19569396385998</v>
      </c>
      <c r="U17" s="3">
        <f>MAX(0,(Table36[maxPSEco]-Table7[f4Eco]*(Table15[[#This Row],[rpm]]-Table36[maxPRpm])^2)/1.36*9550/MAX(1,Table15[[#This Row],[rpm]]))</f>
        <v>635.00258501838232</v>
      </c>
      <c r="V17" s="3">
        <f>MAX(0,Table7[Nm2Eco]*MIN(Table36[ratedRpm]/MAX(1,Table15[[#This Row],[rpm]]),1-(MAX(0,Table15[[#This Row],[rpm]]-Table36[ratedRpm])/Table36[fadeOut])^Table36[fadeOutExp]))</f>
        <v>468.13725490196077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635.62540549307948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635.62540549307948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598.94031141868504</v>
      </c>
      <c r="C18" s="13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598.94031141868504</v>
      </c>
      <c r="E18" s="13"/>
      <c r="F18" s="3">
        <f>Table36[Factor]*IF(Table15[[#This Row],[manualData]]&gt;0,Table15[[#This Row],[manualData]],Table15[[#This Row],[rawData]])</f>
        <v>598.94031141868504</v>
      </c>
      <c r="G18" s="3">
        <f>Table36[Factor]*IF(Table15[[#This Row],[manDataEco]]&gt;0,Table15[[#This Row],[manDataEco]],Table15[[#This Row],[rawDataEco]])</f>
        <v>598.94031141868504</v>
      </c>
      <c r="H18" s="18">
        <f>1.36*Table15[[#This Row],[rpm]]*Table15[[#This Row],[motor]]/9550</f>
        <v>144.99999999999997</v>
      </c>
      <c r="I18" s="18">
        <f>1.36*Table15[[#This Row],[rpm]]*Table15[[#This Row],[motorEco]]/9550</f>
        <v>144.99999999999997</v>
      </c>
      <c r="J1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219.35210722407703</v>
      </c>
      <c r="K1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motorTorque="599" fuelUsageRatio="219,4"/&gt;</v>
      </c>
      <c r="L18" s="7" t="str">
        <f>IF(Table15[[#This Row],[rpm]]&lt;1,Table7[xmlComment],IF(A17&gt;Table36[normRpm],"",IF(Table15[[#This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normRpm="0,773" torque="0,951"/&gt;</v>
      </c>
      <c r="M18" s="3">
        <f>(1-(1-Table15[[#This Row],[rpm]]/Table36[idleRpm])^2)*Table7[idleT]</f>
        <v>0</v>
      </c>
      <c r="N18" s="3">
        <f>MAX(0,(1-Table7[f1]*(Table36[maxTRpm1]-Table15[[#This Row],[rpm]])^2)*Table36[maxT])</f>
        <v>601.88429752066122</v>
      </c>
      <c r="O18" s="3">
        <f>MAX(0,(Table36[linearDown]*(1-Table7[f2]*(Table15[[#This Row],[rpm]]-Table36[maxTRpm]))+(1-Table36[linearDown])*(1-Table7[f3]*(Table15[[#This Row],[rpm]]-Table36[maxTRpm])^2))*Table36[maxT])</f>
        <v>598.94031141868504</v>
      </c>
      <c r="P18" s="3">
        <f>MAX(0,(Table36[maxPS]-Table7[f4]*(Table15[[#This Row],[rpm]]-Table36[maxPRpm])^2)/1.36*9550/MAX(1,Table15[[#This Row],[rpm]]))</f>
        <v>598.94031141868504</v>
      </c>
      <c r="Q18" s="3">
        <f>MAX(0,Table7[Nm2]*MIN(Table36[ratedRpm]/MAX(1,Table15[[#This Row],[rpm]]),1-(MAX(0,Table15[[#This Row],[rpm]]-Table36[ratedRpm])/Table36[fadeOut])^Table36[fadeOutExp]))</f>
        <v>468.13725490196077</v>
      </c>
      <c r="R18" s="3">
        <f>(1-(1-Table15[[#This Row],[rpm]]/Table36[idleRpm])^2)*Table7[idleTEco]</f>
        <v>0</v>
      </c>
      <c r="S18" s="3">
        <f>MAX(0,(1-Table7[f1]*(Table36[maxTRpm1]-Table15[[#This Row],[rpm]])^2)*Table36[maxTEco])</f>
        <v>601.88429752066122</v>
      </c>
      <c r="T18" s="3">
        <f>MAX(0,(Table36[linearDown]*(1-Table7[f2Eco]*(Table15[[#This Row],[rpm]]-Table36[maxTRpm]))+(1-Table36[linearDown])*(1-Table7[f3Eco]*(Table15[[#This Row],[rpm]]-Table36[maxTRpm])^2))*Table36[maxTEco])</f>
        <v>598.94031141868504</v>
      </c>
      <c r="U18" s="3">
        <f>MAX(0,(Table36[maxPSEco]-Table7[f4Eco]*(Table15[[#This Row],[rpm]]-Table36[maxPRpm])^2)/1.36*9550/MAX(1,Table15[[#This Row],[rpm]]))</f>
        <v>598.94031141868504</v>
      </c>
      <c r="V18" s="3">
        <f>MAX(0,Table7[Nm2Eco]*MIN(Table36[ratedRpm]/MAX(1,Table15[[#This Row],[rpm]]),1-(MAX(0,Table15[[#This Row],[rpm]]-Table36[ratedRpm])/Table36[fadeOut])^Table36[fadeOutExp]))</f>
        <v>468.13725490196077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598.94031141868504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598.94031141868504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564.44674223856202</v>
      </c>
      <c r="C19" s="13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564.44674223856202</v>
      </c>
      <c r="E19" s="13"/>
      <c r="F19" s="3">
        <f>Table36[Factor]*IF(Table15[[#This Row],[manualData]]&gt;0,Table15[[#This Row],[manualData]],Table15[[#This Row],[rawData]])</f>
        <v>564.44674223856202</v>
      </c>
      <c r="G19" s="3">
        <f>Table36[Factor]*IF(Table15[[#This Row],[manDataEco]]&gt;0,Table15[[#This Row],[manDataEco]],Table15[[#This Row],[rawDataEco]])</f>
        <v>564.44674223856202</v>
      </c>
      <c r="H19" s="18">
        <f>1.36*Table15[[#This Row],[rpm]]*Table15[[#This Row],[motor]]/9550</f>
        <v>144.68749999999997</v>
      </c>
      <c r="I19" s="18">
        <f>1.36*Table15[[#This Row],[rpm]]*Table15[[#This Row],[motorEco]]/9550</f>
        <v>144.68749999999997</v>
      </c>
      <c r="J1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222.65011854647506</v>
      </c>
      <c r="K1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motorTorque="564" fuelUsageRatio="222,7"/&gt;</v>
      </c>
      <c r="L19" s="7" t="str">
        <f>IF(Table15[[#This Row],[rpm]]&lt;1,Table7[xmlComment],IF(A18&gt;Table36[normRpm],"",IF(Table15[[#This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normRpm="0,818" torque="0,896"/&gt;</v>
      </c>
      <c r="M19" s="3">
        <f>(1-(1-Table15[[#This Row],[rpm]]/Table36[idleRpm])^2)*Table7[idleT]</f>
        <v>-133.41176470588238</v>
      </c>
      <c r="N19" s="3">
        <f>MAX(0,(1-Table7[f1]*(Table36[maxTRpm1]-Table15[[#This Row],[rpm]])^2)*Table36[maxT])</f>
        <v>580.01652892561981</v>
      </c>
      <c r="O19" s="3">
        <f>MAX(0,(Table36[linearDown]*(1-Table7[f2]*(Table15[[#This Row],[rpm]]-Table36[maxTRpm]))+(1-Table36[linearDown])*(1-Table7[f3]*(Table15[[#This Row],[rpm]]-Table36[maxTRpm])^2))*Table36[maxT])</f>
        <v>574.78277585544004</v>
      </c>
      <c r="P19" s="3">
        <f>MAX(0,(Table36[maxPS]-Table7[f4]*(Table15[[#This Row],[rpm]]-Table36[maxPRpm])^2)/1.36*9550/MAX(1,Table15[[#This Row],[rpm]]))</f>
        <v>564.44674223856202</v>
      </c>
      <c r="Q19" s="3">
        <f>MAX(0,Table7[Nm2]*MIN(Table36[ratedRpm]/MAX(1,Table15[[#This Row],[rpm]]),1-(MAX(0,Table15[[#This Row],[rpm]]-Table36[ratedRpm])/Table36[fadeOut])^Table36[fadeOutExp]))</f>
        <v>468.13725490196077</v>
      </c>
      <c r="R19" s="3">
        <f>(1-(1-Table15[[#This Row],[rpm]]/Table36[idleRpm])^2)*Table7[idleTEco]</f>
        <v>-133.41176470588238</v>
      </c>
      <c r="S19" s="3">
        <f>MAX(0,(1-Table7[f1]*(Table36[maxTRpm1]-Table15[[#This Row],[rpm]])^2)*Table36[maxTEco])</f>
        <v>580.01652892561981</v>
      </c>
      <c r="T19" s="3">
        <f>MAX(0,(Table36[linearDown]*(1-Table7[f2Eco]*(Table15[[#This Row],[rpm]]-Table36[maxTRpm]))+(1-Table36[linearDown])*(1-Table7[f3Eco]*(Table15[[#This Row],[rpm]]-Table36[maxTRpm])^2))*Table36[maxTEco])</f>
        <v>574.78277585544004</v>
      </c>
      <c r="U19" s="3">
        <f>MAX(0,(Table36[maxPSEco]-Table7[f4Eco]*(Table15[[#This Row],[rpm]]-Table36[maxPRpm])^2)/1.36*9550/MAX(1,Table15[[#This Row],[rpm]]))</f>
        <v>564.44674223856202</v>
      </c>
      <c r="V19" s="3">
        <f>MAX(0,Table7[Nm2Eco]*MIN(Table36[ratedRpm]/MAX(1,Table15[[#This Row],[rpm]]),1-(MAX(0,Table15[[#This Row],[rpm]]-Table36[ratedRpm])/Table36[fadeOut])^Table36[fadeOutExp]))</f>
        <v>468.13725490196077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565.6658496732025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565.6658496732025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547.70872664944352</v>
      </c>
      <c r="C20" s="13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547.70872664944352</v>
      </c>
      <c r="E20" s="13"/>
      <c r="F20" s="3">
        <f>Table36[Factor]*IF(Table15[[#This Row],[manualData]]&gt;0,Table15[[#This Row],[manualData]],Table15[[#This Row],[rawData]])</f>
        <v>547.70872664944352</v>
      </c>
      <c r="G20" s="3">
        <f>Table36[Factor]*IF(Table15[[#This Row],[manDataEco]]&gt;0,Table15[[#This Row],[manDataEco]],Table15[[#This Row],[rawDataEco]])</f>
        <v>547.70872664944352</v>
      </c>
      <c r="H20" s="18">
        <f>1.36*Table15[[#This Row],[rpm]]*Table15[[#This Row],[motor]]/9550</f>
        <v>144.296875</v>
      </c>
      <c r="I20" s="18">
        <f>1.36*Table15[[#This Row],[rpm]]*Table15[[#This Row],[motorEco]]/9550</f>
        <v>144.296875</v>
      </c>
      <c r="J2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224.55678134223641</v>
      </c>
      <c r="K2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motorTorque="548" fuelUsageRatio="224,6"/&gt;</v>
      </c>
      <c r="L20" s="7" t="str">
        <f>IF(Table15[[#This Row],[rpm]]&lt;1,Table7[xmlComment],IF(A19&gt;Table36[normRpm],"",IF(Table15[[#This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normRpm="0,841" torque="0,869"/&gt;</v>
      </c>
      <c r="M20" s="3">
        <f>(1-(1-Table15[[#This Row],[rpm]]/Table36[idleRpm])^2)*Table7[idleT]</f>
        <v>-205.67647058823511</v>
      </c>
      <c r="N20" s="3">
        <f>MAX(0,(1-Table7[f1]*(Table36[maxTRpm1]-Table15[[#This Row],[rpm]])^2)*Table36[maxT])</f>
        <v>566.73966942148752</v>
      </c>
      <c r="O20" s="3">
        <f>MAX(0,(Table36[linearDown]*(1-Table7[f2]*(Table15[[#This Row],[rpm]]-Table36[maxTRpm]))+(1-Table36[linearDown])*(1-Table7[f3]*(Table15[[#This Row],[rpm]]-Table36[maxTRpm])^2))*Table36[maxT])</f>
        <v>560.1157006920414</v>
      </c>
      <c r="P20" s="3">
        <f>MAX(0,(Table36[maxPS]-Table7[f4]*(Table15[[#This Row],[rpm]]-Table36[maxPRpm])^2)/1.36*9550/MAX(1,Table15[[#This Row],[rpm]]))</f>
        <v>547.70872664944352</v>
      </c>
      <c r="Q20" s="3">
        <f>MAX(0,Table7[Nm2]*MIN(Table36[ratedRpm]/MAX(1,Table15[[#This Row],[rpm]]),1-(MAX(0,Table15[[#This Row],[rpm]]-Table36[ratedRpm])/Table36[fadeOut])^Table36[fadeOutExp]))</f>
        <v>468.13725490196077</v>
      </c>
      <c r="R20" s="3">
        <f>(1-(1-Table15[[#This Row],[rpm]]/Table36[idleRpm])^2)*Table7[idleTEco]</f>
        <v>-205.67647058823511</v>
      </c>
      <c r="S20" s="3">
        <f>MAX(0,(1-Table7[f1]*(Table36[maxTRpm1]-Table15[[#This Row],[rpm]])^2)*Table36[maxTEco])</f>
        <v>566.73966942148752</v>
      </c>
      <c r="T20" s="3">
        <f>MAX(0,(Table36[linearDown]*(1-Table7[f2Eco]*(Table15[[#This Row],[rpm]]-Table36[maxTRpm]))+(1-Table36[linearDown])*(1-Table7[f3Eco]*(Table15[[#This Row],[rpm]]-Table36[maxTRpm])^2))*Table36[maxTEco])</f>
        <v>560.1157006920414</v>
      </c>
      <c r="U20" s="3">
        <f>MAX(0,(Table36[maxPSEco]-Table7[f4Eco]*(Table15[[#This Row],[rpm]]-Table36[maxPRpm])^2)/1.36*9550/MAX(1,Table15[[#This Row],[rpm]]))</f>
        <v>547.70872664944352</v>
      </c>
      <c r="V20" s="3">
        <f>MAX(0,Table7[Nm2Eco]*MIN(Table36[ratedRpm]/MAX(1,Table15[[#This Row],[rpm]]),1-(MAX(0,Table15[[#This Row],[rpm]]-Table36[ratedRpm])/Table36[fadeOut])^Table36[fadeOutExp]))</f>
        <v>468.13725490196077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550.3775834658187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550.3775834658187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531.27418730650152</v>
      </c>
      <c r="C21" s="13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531.27418730650152</v>
      </c>
      <c r="E21" s="13"/>
      <c r="F21" s="3">
        <f>Table36[Factor]*IF(Table15[[#This Row],[manualData]]&gt;0,Table15[[#This Row],[manualData]],Table15[[#This Row],[rawData]])</f>
        <v>531.27418730650152</v>
      </c>
      <c r="G21" s="3">
        <f>Table36[Factor]*IF(Table15[[#This Row],[manDataEco]]&gt;0,Table15[[#This Row],[manDataEco]],Table15[[#This Row],[rawDataEco]])</f>
        <v>531.27418730650152</v>
      </c>
      <c r="H21" s="18">
        <f>1.36*Table15[[#This Row],[rpm]]*Table15[[#This Row],[motor]]/9550</f>
        <v>143.75</v>
      </c>
      <c r="I21" s="18">
        <f>1.36*Table15[[#This Row],[rpm]]*Table15[[#This Row],[motorEco]]/9550</f>
        <v>143.75</v>
      </c>
      <c r="J2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226.63521556103933</v>
      </c>
      <c r="K2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motorTorque="531" fuelUsageRatio="226,6"/&gt;</v>
      </c>
      <c r="L21" s="7" t="str">
        <f>IF(Table15[[#This Row],[rpm]]&lt;1,Table7[xmlComment],IF(A20&gt;Table36[normRpm],"",IF(Table15[[#This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normRpm="0,864" torque="0,843"/&gt;</v>
      </c>
      <c r="M21" s="3">
        <f>(1-(1-Table15[[#This Row],[rpm]]/Table36[idleRpm])^2)*Table7[idleT]</f>
        <v>-281.64705882352945</v>
      </c>
      <c r="N21" s="3">
        <f>MAX(0,(1-Table7[f1]*(Table36[maxTRpm1]-Table15[[#This Row],[rpm]])^2)*Table36[maxT])</f>
        <v>551.90082644628092</v>
      </c>
      <c r="O21" s="3">
        <f>MAX(0,(Table36[linearDown]*(1-Table7[f2]*(Table15[[#This Row],[rpm]]-Table36[maxTRpm]))+(1-Table36[linearDown])*(1-Table7[f3]*(Table15[[#This Row],[rpm]]-Table36[maxTRpm])^2))*Table36[maxT])</f>
        <v>543.72308727412519</v>
      </c>
      <c r="P21" s="3">
        <f>MAX(0,(Table36[maxPS]-Table7[f4]*(Table15[[#This Row],[rpm]]-Table36[maxPRpm])^2)/1.36*9550/MAX(1,Table15[[#This Row],[rpm]]))</f>
        <v>531.27418730650152</v>
      </c>
      <c r="Q21" s="3">
        <f>MAX(0,Table7[Nm2]*MIN(Table36[ratedRpm]/MAX(1,Table15[[#This Row],[rpm]]),1-(MAX(0,Table15[[#This Row],[rpm]]-Table36[ratedRpm])/Table36[fadeOut])^Table36[fadeOutExp]))</f>
        <v>468.13725490196077</v>
      </c>
      <c r="R21" s="3">
        <f>(1-(1-Table15[[#This Row],[rpm]]/Table36[idleRpm])^2)*Table7[idleTEco]</f>
        <v>-281.64705882352945</v>
      </c>
      <c r="S21" s="3">
        <f>MAX(0,(1-Table7[f1]*(Table36[maxTRpm1]-Table15[[#This Row],[rpm]])^2)*Table36[maxTEco])</f>
        <v>551.90082644628092</v>
      </c>
      <c r="T21" s="3">
        <f>MAX(0,(Table36[linearDown]*(1-Table7[f2Eco]*(Table15[[#This Row],[rpm]]-Table36[maxTRpm]))+(1-Table36[linearDown])*(1-Table7[f3Eco]*(Table15[[#This Row],[rpm]]-Table36[maxTRpm])^2))*Table36[maxTEco])</f>
        <v>543.72308727412519</v>
      </c>
      <c r="U21" s="3">
        <f>MAX(0,(Table36[maxPSEco]-Table7[f4Eco]*(Table15[[#This Row],[rpm]]-Table36[maxPRpm])^2)/1.36*9550/MAX(1,Table15[[#This Row],[rpm]]))</f>
        <v>531.27418730650152</v>
      </c>
      <c r="V21" s="3">
        <f>MAX(0,Table7[Nm2Eco]*MIN(Table36[ratedRpm]/MAX(1,Table15[[#This Row],[rpm]]),1-(MAX(0,Table15[[#This Row],[rpm]]-Table36[ratedRpm])/Table36[fadeOut])^Table36[fadeOutExp]))</f>
        <v>468.13725490196077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535.89396284829718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535.89396284829718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515.11977988310707</v>
      </c>
      <c r="C22" s="13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515.11977988310707</v>
      </c>
      <c r="E22" s="13"/>
      <c r="F22" s="3">
        <f>Table36[Factor]*IF(Table15[[#This Row],[manualData]]&gt;0,Table15[[#This Row],[manualData]],Table15[[#This Row],[rawData]])</f>
        <v>515.11977988310707</v>
      </c>
      <c r="G22" s="3">
        <f>Table36[Factor]*IF(Table15[[#This Row],[manDataEco]]&gt;0,Table15[[#This Row],[manDataEco]],Table15[[#This Row],[rawDataEco]])</f>
        <v>515.11977988310707</v>
      </c>
      <c r="H22" s="18">
        <f>1.36*Table15[[#This Row],[rpm]]*Table15[[#This Row],[motor]]/9550</f>
        <v>143.046875</v>
      </c>
      <c r="I22" s="18">
        <f>1.36*Table15[[#This Row],[rpm]]*Table15[[#This Row],[motorEco]]/9550</f>
        <v>143.046875</v>
      </c>
      <c r="J2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228.88542120288383</v>
      </c>
      <c r="K2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motorTorque="515" fuelUsageRatio="228,9"/&gt;</v>
      </c>
      <c r="L22" s="7" t="str">
        <f>IF(Table15[[#This Row],[rpm]]&lt;1,Table7[xmlComment],IF(A21&gt;Table36[normRpm],"",IF(Table15[[#This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normRpm="0,886" torque="0,818"/&gt;</v>
      </c>
      <c r="M22" s="3">
        <f>(1-(1-Table15[[#This Row],[rpm]]/Table36[idleRpm])^2)*Table7[idleT]</f>
        <v>-361.32352941176453</v>
      </c>
      <c r="N22" s="3">
        <f>MAX(0,(1-Table7[f1]*(Table36[maxTRpm1]-Table15[[#This Row],[rpm]])^2)*Table36[maxT])</f>
        <v>535.5</v>
      </c>
      <c r="O22" s="3">
        <f>MAX(0,(Table36[linearDown]*(1-Table7[f2]*(Table15[[#This Row],[rpm]]-Table36[maxTRpm]))+(1-Table36[linearDown])*(1-Table7[f3]*(Table15[[#This Row],[rpm]]-Table36[maxTRpm])^2))*Table36[maxT])</f>
        <v>525.60493560169141</v>
      </c>
      <c r="P22" s="3">
        <f>MAX(0,(Table36[maxPS]-Table7[f4]*(Table15[[#This Row],[rpm]]-Table36[maxPRpm])^2)/1.36*9550/MAX(1,Table15[[#This Row],[rpm]]))</f>
        <v>515.11977988310707</v>
      </c>
      <c r="Q22" s="3">
        <f>MAX(0,Table7[Nm2]*MIN(Table36[ratedRpm]/MAX(1,Table15[[#This Row],[rpm]]),1-(MAX(0,Table15[[#This Row],[rpm]]-Table36[ratedRpm])/Table36[fadeOut])^Table36[fadeOutExp]))</f>
        <v>468.13725490196077</v>
      </c>
      <c r="R22" s="3">
        <f>(1-(1-Table15[[#This Row],[rpm]]/Table36[idleRpm])^2)*Table7[idleTEco]</f>
        <v>-361.32352941176453</v>
      </c>
      <c r="S22" s="3">
        <f>MAX(0,(1-Table7[f1]*(Table36[maxTRpm1]-Table15[[#This Row],[rpm]])^2)*Table36[maxTEco])</f>
        <v>535.5</v>
      </c>
      <c r="T22" s="3">
        <f>MAX(0,(Table36[linearDown]*(1-Table7[f2Eco]*(Table15[[#This Row],[rpm]]-Table36[maxTRpm]))+(1-Table36[linearDown])*(1-Table7[f3Eco]*(Table15[[#This Row],[rpm]]-Table36[maxTRpm])^2))*Table36[maxTEco])</f>
        <v>525.60493560169141</v>
      </c>
      <c r="U22" s="3">
        <f>MAX(0,(Table36[maxPSEco]-Table7[f4Eco]*(Table15[[#This Row],[rpm]]-Table36[maxPRpm])^2)/1.36*9550/MAX(1,Table15[[#This Row],[rpm]]))</f>
        <v>515.11977988310707</v>
      </c>
      <c r="V22" s="3">
        <f>MAX(0,Table7[Nm2Eco]*MIN(Table36[ratedRpm]/MAX(1,Table15[[#This Row],[rpm]]),1-(MAX(0,Table15[[#This Row],[rpm]]-Table36[ratedRpm])/Table36[fadeOut])^Table36[fadeOutExp]))</f>
        <v>468.13725490196077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522.15309200603315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522.15309200603315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499.22449448529409</v>
      </c>
      <c r="C23" s="13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499.22449448529409</v>
      </c>
      <c r="E23" s="13"/>
      <c r="F23" s="3">
        <f>Table36[Factor]*IF(Table15[[#This Row],[manualData]]&gt;0,Table15[[#This Row],[manualData]],Table15[[#This Row],[rawData]])</f>
        <v>499.22449448529409</v>
      </c>
      <c r="G23" s="3">
        <f>Table36[Factor]*IF(Table15[[#This Row],[manDataEco]]&gt;0,Table15[[#This Row],[manDataEco]],Table15[[#This Row],[rawDataEco]])</f>
        <v>499.22449448529409</v>
      </c>
      <c r="H23" s="18">
        <f>1.36*Table15[[#This Row],[rpm]]*Table15[[#This Row],[motor]]/9550</f>
        <v>142.1875</v>
      </c>
      <c r="I23" s="18">
        <f>1.36*Table15[[#This Row],[rpm]]*Table15[[#This Row],[motorEco]]/9550</f>
        <v>142.1875</v>
      </c>
      <c r="J2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231.30739826776986</v>
      </c>
      <c r="K2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motorTorque="499" fuelUsageRatio="231,3"/&gt;</v>
      </c>
      <c r="L23" s="7" t="str">
        <f>IF(Table15[[#This Row],[rpm]]&lt;1,Table7[xmlComment],IF(A22&gt;Table36[normRpm],"",IF(Table15[[#This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normRpm="0,909" torque="0,792"/&gt;</v>
      </c>
      <c r="M23" s="3">
        <f>(1-(1-Table15[[#This Row],[rpm]]/Table36[idleRpm])^2)*Table7[idleT]</f>
        <v>-444.70588235294133</v>
      </c>
      <c r="N23" s="3">
        <f>MAX(0,(1-Table7[f1]*(Table36[maxTRpm1]-Table15[[#This Row],[rpm]])^2)*Table36[maxT])</f>
        <v>517.53719008264454</v>
      </c>
      <c r="O23" s="3">
        <f>MAX(0,(Table36[linearDown]*(1-Table7[f2]*(Table15[[#This Row],[rpm]]-Table36[maxTRpm]))+(1-Table36[linearDown])*(1-Table7[f3]*(Table15[[#This Row],[rpm]]-Table36[maxTRpm])^2))*Table36[maxT])</f>
        <v>505.76124567474017</v>
      </c>
      <c r="P23" s="3">
        <f>MAX(0,(Table36[maxPS]-Table7[f4]*(Table15[[#This Row],[rpm]]-Table36[maxPRpm])^2)/1.36*9550/MAX(1,Table15[[#This Row],[rpm]]))</f>
        <v>499.22449448529409</v>
      </c>
      <c r="Q23" s="3">
        <f>MAX(0,Table7[Nm2]*MIN(Table36[ratedRpm]/MAX(1,Table15[[#This Row],[rpm]]),1-(MAX(0,Table15[[#This Row],[rpm]]-Table36[ratedRpm])/Table36[fadeOut])^Table36[fadeOutExp]))</f>
        <v>468.13725490196077</v>
      </c>
      <c r="R23" s="3">
        <f>(1-(1-Table15[[#This Row],[rpm]]/Table36[idleRpm])^2)*Table7[idleTEco]</f>
        <v>-444.70588235294133</v>
      </c>
      <c r="S23" s="3">
        <f>MAX(0,(1-Table7[f1]*(Table36[maxTRpm1]-Table15[[#This Row],[rpm]])^2)*Table36[maxTEco])</f>
        <v>517.53719008264454</v>
      </c>
      <c r="T23" s="3">
        <f>MAX(0,(Table36[linearDown]*(1-Table7[f2Eco]*(Table15[[#This Row],[rpm]]-Table36[maxTRpm]))+(1-Table36[linearDown])*(1-Table7[f3Eco]*(Table15[[#This Row],[rpm]]-Table36[maxTRpm])^2))*Table36[maxTEco])</f>
        <v>505.76124567474017</v>
      </c>
      <c r="U23" s="3">
        <f>MAX(0,(Table36[maxPSEco]-Table7[f4Eco]*(Table15[[#This Row],[rpm]]-Table36[maxPRpm])^2)/1.36*9550/MAX(1,Table15[[#This Row],[rpm]]))</f>
        <v>499.22449448529409</v>
      </c>
      <c r="V23" s="3">
        <f>MAX(0,Table7[Nm2Eco]*MIN(Table36[ratedRpm]/MAX(1,Table15[[#This Row],[rpm]]),1-(MAX(0,Table15[[#This Row],[rpm]]-Table36[ratedRpm])/Table36[fadeOut])^Table36[fadeOutExp]))</f>
        <v>468.13725490196077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509.09926470588232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509.09926470588232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483.56937096484933</v>
      </c>
      <c r="C24" s="13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483.56937096484933</v>
      </c>
      <c r="E24" s="13"/>
      <c r="F24" s="3">
        <f>Table36[Factor]*IF(Table15[[#This Row],[manualData]]&gt;0,Table15[[#This Row],[manualData]],Table15[[#This Row],[rawData]])</f>
        <v>483.56937096484933</v>
      </c>
      <c r="G24" s="3">
        <f>Table36[Factor]*IF(Table15[[#This Row],[manDataEco]]&gt;0,Table15[[#This Row],[manDataEco]],Table15[[#This Row],[rawDataEco]])</f>
        <v>483.56937096484933</v>
      </c>
      <c r="H24" s="18">
        <f>1.36*Table15[[#This Row],[rpm]]*Table15[[#This Row],[motor]]/9550</f>
        <v>141.171875</v>
      </c>
      <c r="I24" s="18">
        <f>1.36*Table15[[#This Row],[rpm]]*Table15[[#This Row],[motorEco]]/9550</f>
        <v>141.171875</v>
      </c>
      <c r="J2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233.90114675569748</v>
      </c>
      <c r="K2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motorTorque="484" fuelUsageRatio="233,9"/&gt;</v>
      </c>
      <c r="L24" s="7" t="str">
        <f>IF(Table15[[#This Row],[rpm]]&lt;1,Table7[xmlComment],IF(A23&gt;Table36[normRpm],"",IF(Table15[[#This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normRpm="0,932" torque="0,768"/&gt;</v>
      </c>
      <c r="M24" s="3">
        <f>(1-(1-Table15[[#This Row],[rpm]]/Table36[idleRpm])^2)*Table7[idleT]</f>
        <v>-531.79411764705867</v>
      </c>
      <c r="N24" s="3">
        <f>MAX(0,(1-Table7[f1]*(Table36[maxTRpm1]-Table15[[#This Row],[rpm]])^2)*Table36[maxT])</f>
        <v>498.01239669421483</v>
      </c>
      <c r="O24" s="3">
        <f>MAX(0,(Table36[linearDown]*(1-Table7[f2]*(Table15[[#This Row],[rpm]]-Table36[maxTRpm]))+(1-Table36[linearDown])*(1-Table7[f3]*(Table15[[#This Row],[rpm]]-Table36[maxTRpm])^2))*Table36[maxT])</f>
        <v>484.19201749327146</v>
      </c>
      <c r="P24" s="3">
        <f>MAX(0,(Table36[maxPS]-Table7[f4]*(Table15[[#This Row],[rpm]]-Table36[maxPRpm])^2)/1.36*9550/MAX(1,Table15[[#This Row],[rpm]]))</f>
        <v>483.56937096484933</v>
      </c>
      <c r="Q24" s="3">
        <f>MAX(0,Table7[Nm2]*MIN(Table36[ratedRpm]/MAX(1,Table15[[#This Row],[rpm]]),1-(MAX(0,Table15[[#This Row],[rpm]]-Table36[ratedRpm])/Table36[fadeOut])^Table36[fadeOutExp]))</f>
        <v>468.13725490196077</v>
      </c>
      <c r="R24" s="3">
        <f>(1-(1-Table15[[#This Row],[rpm]]/Table36[idleRpm])^2)*Table7[idleTEco]</f>
        <v>-531.79411764705867</v>
      </c>
      <c r="S24" s="3">
        <f>MAX(0,(1-Table7[f1]*(Table36[maxTRpm1]-Table15[[#This Row],[rpm]])^2)*Table36[maxTEco])</f>
        <v>498.01239669421483</v>
      </c>
      <c r="T24" s="3">
        <f>MAX(0,(Table36[linearDown]*(1-Table7[f2Eco]*(Table15[[#This Row],[rpm]]-Table36[maxTRpm]))+(1-Table36[linearDown])*(1-Table7[f3Eco]*(Table15[[#This Row],[rpm]]-Table36[maxTRpm])^2))*Table36[maxTEco])</f>
        <v>484.19201749327146</v>
      </c>
      <c r="U24" s="3">
        <f>MAX(0,(Table36[maxPSEco]-Table7[f4Eco]*(Table15[[#This Row],[rpm]]-Table36[maxPRpm])^2)/1.36*9550/MAX(1,Table15[[#This Row],[rpm]]))</f>
        <v>483.56937096484933</v>
      </c>
      <c r="V24" s="3">
        <f>MAX(0,Table7[Nm2Eco]*MIN(Table36[ratedRpm]/MAX(1,Table15[[#This Row],[rpm]]),1-(MAX(0,Table15[[#This Row],[rpm]]-Table36[ratedRpm])/Table36[fadeOut])^Table36[fadeOutExp]))</f>
        <v>468.13725490196077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496.68220946915346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496.68220946915346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468.13725490196077</v>
      </c>
      <c r="C25" s="13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468.13725490196077</v>
      </c>
      <c r="E25" s="13"/>
      <c r="F25" s="3">
        <f>Table36[Factor]*IF(Table15[[#This Row],[manualData]]&gt;0,Table15[[#This Row],[manualData]],Table15[[#This Row],[rawData]])</f>
        <v>468.13725490196077</v>
      </c>
      <c r="G25" s="3">
        <f>Table36[Factor]*IF(Table15[[#This Row],[manDataEco]]&gt;0,Table15[[#This Row],[manDataEco]],Table15[[#This Row],[rawDataEco]])</f>
        <v>468.13725490196077</v>
      </c>
      <c r="H25" s="18">
        <f>1.36*Table15[[#This Row],[rpm]]*Table15[[#This Row],[motor]]/9550</f>
        <v>140</v>
      </c>
      <c r="I25" s="18">
        <f>1.36*Table15[[#This Row],[rpm]]*Table15[[#This Row],[motorEco]]/9550</f>
        <v>140</v>
      </c>
      <c r="J2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236.66666666666666</v>
      </c>
      <c r="K2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motorTorque="468" fuelUsageRatio="236,7"/&gt;</v>
      </c>
      <c r="L25" s="7" t="str">
        <f>IF(Table15[[#This Row],[rpm]]&lt;1,Table7[xmlComment],IF(A24&gt;Table36[normRpm],"",IF(Table15[[#This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normRpm="0,955" torque="0,743"/&gt;</v>
      </c>
      <c r="M25" s="3">
        <f>(1-(1-Table15[[#This Row],[rpm]]/Table36[idleRpm])^2)*Table7[idleT]</f>
        <v>-622.58823529411791</v>
      </c>
      <c r="N25" s="3">
        <f>MAX(0,(1-Table7[f1]*(Table36[maxTRpm1]-Table15[[#This Row],[rpm]])^2)*Table36[maxT])</f>
        <v>476.92561983471069</v>
      </c>
      <c r="O25" s="3">
        <f>MAX(0,(Table36[linearDown]*(1-Table7[f2]*(Table15[[#This Row],[rpm]]-Table36[maxTRpm]))+(1-Table36[linearDown])*(1-Table7[f3]*(Table15[[#This Row],[rpm]]-Table36[maxTRpm])^2))*Table36[maxT])</f>
        <v>460.89725105728525</v>
      </c>
      <c r="P25" s="3">
        <f>MAX(0,(Table36[maxPS]-Table7[f4]*(Table15[[#This Row],[rpm]]-Table36[maxPRpm])^2)/1.36*9550/MAX(1,Table15[[#This Row],[rpm]]))</f>
        <v>468.13725490196077</v>
      </c>
      <c r="Q25" s="3">
        <f>MAX(0,Table7[Nm2]*MIN(Table36[ratedRpm]/MAX(1,Table15[[#This Row],[rpm]]),1-(MAX(0,Table15[[#This Row],[rpm]]-Table36[ratedRpm])/Table36[fadeOut])^Table36[fadeOutExp]))</f>
        <v>468.13725490196077</v>
      </c>
      <c r="R25" s="3">
        <f>(1-(1-Table15[[#This Row],[rpm]]/Table36[idleRpm])^2)*Table7[idleTEco]</f>
        <v>-622.58823529411791</v>
      </c>
      <c r="S25" s="3">
        <f>MAX(0,(1-Table7[f1]*(Table36[maxTRpm1]-Table15[[#This Row],[rpm]])^2)*Table36[maxTEco])</f>
        <v>476.92561983471069</v>
      </c>
      <c r="T25" s="3">
        <f>MAX(0,(Table36[linearDown]*(1-Table7[f2Eco]*(Table15[[#This Row],[rpm]]-Table36[maxTRpm]))+(1-Table36[linearDown])*(1-Table7[f3Eco]*(Table15[[#This Row],[rpm]]-Table36[maxTRpm])^2))*Table36[maxTEco])</f>
        <v>460.89725105728525</v>
      </c>
      <c r="U25" s="3">
        <f>MAX(0,(Table36[maxPSEco]-Table7[f4Eco]*(Table15[[#This Row],[rpm]]-Table36[maxPRpm])^2)/1.36*9550/MAX(1,Table15[[#This Row],[rpm]]))</f>
        <v>468.13725490196077</v>
      </c>
      <c r="V25" s="3">
        <f>MAX(0,Table7[Nm2Eco]*MIN(Table36[ratedRpm]/MAX(1,Table15[[#This Row],[rpm]]),1-(MAX(0,Table15[[#This Row],[rpm]]-Table36[ratedRpm])/Table36[fadeOut])^Table36[fadeOutExp]))</f>
        <v>468.13725490196077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484.85644257703075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484.85644257703075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425.76345385232145</v>
      </c>
      <c r="C26" s="13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425.76345385232145</v>
      </c>
      <c r="E26" s="13"/>
      <c r="F26" s="3">
        <f>Table36[Factor]*IF(Table15[[#This Row],[manualData]]&gt;0,Table15[[#This Row],[manualData]],Table15[[#This Row],[rawData]])</f>
        <v>425.76345385232145</v>
      </c>
      <c r="G26" s="3">
        <f>Table36[Factor]*IF(Table15[[#This Row],[manDataEco]]&gt;0,Table15[[#This Row],[manDataEco]],Table15[[#This Row],[rawDataEco]])</f>
        <v>425.76345385232145</v>
      </c>
      <c r="H26" s="18">
        <f>1.36*Table15[[#This Row],[rpm]]*Table15[[#This Row],[motor]]/9550</f>
        <v>130.35940723185212</v>
      </c>
      <c r="I26" s="18">
        <f>1.36*Table15[[#This Row],[rpm]]*Table15[[#This Row],[motorEco]]/9550</f>
        <v>130.35940723185212</v>
      </c>
      <c r="J2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340.85637656911615</v>
      </c>
      <c r="K2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motorTorque="426" fuelUsageRatio="340,9"/&gt;</v>
      </c>
      <c r="L26" s="7" t="str">
        <f>IF(Table15[[#This Row],[rpm]]&lt;1,Table7[xmlComment],IF(A25&gt;Table36[normRpm],"",IF(Table15[[#This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normRpm="0,977" torque="0,676"/&gt;</v>
      </c>
      <c r="M26" s="3">
        <f>(1-(1-Table15[[#This Row],[rpm]]/Table36[idleRpm])^2)*Table7[idleT]</f>
        <v>-717.08823529411757</v>
      </c>
      <c r="N26" s="3">
        <f>MAX(0,(1-Table7[f1]*(Table36[maxTRpm1]-Table15[[#This Row],[rpm]])^2)*Table36[maxT])</f>
        <v>454.27685950413223</v>
      </c>
      <c r="O26" s="3">
        <f>MAX(0,(Table36[linearDown]*(1-Table7[f2]*(Table15[[#This Row],[rpm]]-Table36[maxTRpm]))+(1-Table36[linearDown])*(1-Table7[f3]*(Table15[[#This Row],[rpm]]-Table36[maxTRpm])^2))*Table36[maxT])</f>
        <v>435.87694636678157</v>
      </c>
      <c r="P26" s="3">
        <f>MAX(0,(Table36[maxPS]-Table7[f4]*(Table15[[#This Row],[rpm]]-Table36[maxPRpm])^2)/1.36*9550/MAX(1,Table15[[#This Row],[rpm]]))</f>
        <v>452.91258763679889</v>
      </c>
      <c r="Q26" s="3">
        <f>MAX(0,Table7[Nm2]*MIN(Table36[ratedRpm]/MAX(1,Table15[[#This Row],[rpm]]),1-(MAX(0,Table15[[#This Row],[rpm]]-Table36[ratedRpm])/Table36[fadeOut])^Table36[fadeOutExp]))</f>
        <v>425.76345385232145</v>
      </c>
      <c r="R26" s="3">
        <f>(1-(1-Table15[[#This Row],[rpm]]/Table36[idleRpm])^2)*Table7[idleTEco]</f>
        <v>-717.08823529411757</v>
      </c>
      <c r="S26" s="3">
        <f>MAX(0,(1-Table7[f1]*(Table36[maxTRpm1]-Table15[[#This Row],[rpm]])^2)*Table36[maxTEco])</f>
        <v>454.27685950413223</v>
      </c>
      <c r="T26" s="3">
        <f>MAX(0,(Table36[linearDown]*(1-Table7[f2Eco]*(Table15[[#This Row],[rpm]]-Table36[maxTRpm]))+(1-Table36[linearDown])*(1-Table7[f3Eco]*(Table15[[#This Row],[rpm]]-Table36[maxTRpm])^2))*Table36[maxTEco])</f>
        <v>435.87694636678157</v>
      </c>
      <c r="U26" s="3">
        <f>MAX(0,(Table36[maxPSEco]-Table7[f4Eco]*(Table15[[#This Row],[rpm]]-Table36[maxPRpm])^2)/1.36*9550/MAX(1,Table15[[#This Row],[rpm]]))</f>
        <v>452.91258763679889</v>
      </c>
      <c r="V26" s="3">
        <f>MAX(0,Table7[Nm2Eco]*MIN(Table36[ratedRpm]/MAX(1,Table15[[#This Row],[rpm]]),1-(MAX(0,Table15[[#This Row],[rpm]]-Table36[ratedRpm])/Table36[fadeOut])^Table36[fadeOutExp]))</f>
        <v>425.76345385232145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473.58071135430913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473.58071135430913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273.43839265919127</v>
      </c>
      <c r="C27" s="13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273.43839265919127</v>
      </c>
      <c r="E27" s="13"/>
      <c r="F27" s="3">
        <f>Table36[Factor]*IF(Table15[[#This Row],[manualData]]&gt;0,Table15[[#This Row],[manualData]],Table15[[#This Row],[rawData]])</f>
        <v>273.43839265919127</v>
      </c>
      <c r="G27" s="3">
        <f>Table36[Factor]*IF(Table15[[#This Row],[manDataEco]]&gt;0,Table15[[#This Row],[manDataEco]],Table15[[#This Row],[rawDataEco]])</f>
        <v>273.43839265919127</v>
      </c>
      <c r="H27" s="3">
        <f>1.36*Table15[[#This Row],[rpm]]*Table15[[#This Row],[motor]]/9550</f>
        <v>85.667818935738239</v>
      </c>
      <c r="I27" s="3">
        <f>1.36*Table15[[#This Row],[rpm]]*Table15[[#This Row],[motorEco]]/9550</f>
        <v>85.667818935738239</v>
      </c>
      <c r="J2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543.08090327549587</v>
      </c>
      <c r="K2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motorTorque="273" fuelUsageRatio="543,1"/&gt;</v>
      </c>
      <c r="L27" s="7" t="str">
        <f>IF(Table15[[#This Row],[rpm]]&lt;1,Table7[xmlComment],IF(A26&gt;Table36[normRpm],"",IF(Table15[[#This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normRpm="0,999" torque="0,434"/&gt;</v>
      </c>
      <c r="M27" s="3">
        <f>(1-(1-Table15[[#This Row],[rpm]]/Table36[idleRpm])^2)*Table7[idleT]</f>
        <v>-815.2941176470589</v>
      </c>
      <c r="N27" s="3">
        <f>MAX(0,(1-Table7[f1]*(Table36[maxTRpm1]-Table15[[#This Row],[rpm]])^2)*Table36[maxT])</f>
        <v>430.06611570247929</v>
      </c>
      <c r="O27" s="3">
        <f>MAX(0,(Table36[linearDown]*(1-Table7[f2]*(Table15[[#This Row],[rpm]]-Table36[maxTRpm]))+(1-Table36[linearDown])*(1-Table7[f3]*(Table15[[#This Row],[rpm]]-Table36[maxTRpm])^2))*Table36[maxT])</f>
        <v>409.13110342176032</v>
      </c>
      <c r="P27" s="3">
        <f>MAX(0,(Table36[maxPS]-Table7[f4]*(Table15[[#This Row],[rpm]]-Table36[maxPRpm])^2)/1.36*9550/MAX(1,Table15[[#This Row],[rpm]]))</f>
        <v>437.88122493315507</v>
      </c>
      <c r="Q27" s="3">
        <f>MAX(0,Table7[Nm2]*MIN(Table36[ratedRpm]/MAX(1,Table15[[#This Row],[rpm]]),1-(MAX(0,Table15[[#This Row],[rpm]]-Table36[ratedRpm])/Table36[fadeOut])^Table36[fadeOutExp]))</f>
        <v>273.43839265919127</v>
      </c>
      <c r="R27" s="3">
        <f>(1-(1-Table15[[#This Row],[rpm]]/Table36[idleRpm])^2)*Table7[idleTEco]</f>
        <v>-815.2941176470589</v>
      </c>
      <c r="S27" s="3">
        <f>MAX(0,(1-Table7[f1]*(Table36[maxTRpm1]-Table15[[#This Row],[rpm]])^2)*Table36[maxTEco])</f>
        <v>430.06611570247929</v>
      </c>
      <c r="T27" s="3">
        <f>MAX(0,(Table36[linearDown]*(1-Table7[f2Eco]*(Table15[[#This Row],[rpm]]-Table36[maxTRpm]))+(1-Table36[linearDown])*(1-Table7[f3Eco]*(Table15[[#This Row],[rpm]]-Table36[maxTRpm])^2))*Table36[maxTEco])</f>
        <v>409.13110342176032</v>
      </c>
      <c r="U27" s="3">
        <f>MAX(0,(Table36[maxPSEco]-Table7[f4Eco]*(Table15[[#This Row],[rpm]]-Table36[maxPRpm])^2)/1.36*9550/MAX(1,Table15[[#This Row],[rpm]]))</f>
        <v>437.88122493315507</v>
      </c>
      <c r="V27" s="3">
        <f>MAX(0,Table7[Nm2Eco]*MIN(Table36[ratedRpm]/MAX(1,Table15[[#This Row],[rpm]]),1-(MAX(0,Table15[[#This Row],[rpm]]-Table36[ratedRpm])/Table36[fadeOut])^Table36[fadeOutExp]))</f>
        <v>273.43839265919127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462.8175133689839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462.8175133689839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13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13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fuelUsageRatio="0"/&gt;</v>
      </c>
      <c r="L28" s="7" t="str">
        <f>IF(Table15[[#This Row],[rpm]]&lt;1,Table7[xmlComment],IF(A27&gt;Table36[normRpm],"",IF(Table15[[#This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normRpm="1" torque="0"/&gt;</v>
      </c>
      <c r="M28" s="3">
        <f>(1-(1-Table15[[#This Row],[rpm]]/Table36[idleRpm])^2)*Table7[idleT]</f>
        <v>-917.2058823529411</v>
      </c>
      <c r="N28" s="3">
        <f>MAX(0,(1-Table7[f1]*(Table36[maxTRpm1]-Table15[[#This Row],[rpm]])^2)*Table36[maxT])</f>
        <v>404.29338842975204</v>
      </c>
      <c r="O28" s="3">
        <f>MAX(0,(Table36[linearDown]*(1-Table7[f2]*(Table15[[#This Row],[rpm]]-Table36[maxTRpm]))+(1-Table36[linearDown])*(1-Table7[f3]*(Table15[[#This Row],[rpm]]-Table36[maxTRpm])^2))*Table36[maxT])</f>
        <v>380.6597222222216</v>
      </c>
      <c r="P28" s="3">
        <f>MAX(0,(Table36[maxPS]-Table7[f4]*(Table15[[#This Row],[rpm]]-Table36[maxPRpm])^2)/1.36*9550/MAX(1,Table15[[#This Row],[rpm]]))</f>
        <v>423.0302798202614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-917.2058823529411</v>
      </c>
      <c r="S28" s="3">
        <f>MAX(0,(1-Table7[f1]*(Table36[maxTRpm1]-Table15[[#This Row],[rpm]])^2)*Table36[maxTEco])</f>
        <v>404.29338842975204</v>
      </c>
      <c r="T28" s="3">
        <f>MAX(0,(Table36[linearDown]*(1-Table7[f2Eco]*(Table15[[#This Row],[rpm]]-Table36[maxTRpm]))+(1-Table36[linearDown])*(1-Table7[f3Eco]*(Table15[[#This Row],[rpm]]-Table36[maxTRpm])^2))*Table36[maxTEco])</f>
        <v>380.6597222222216</v>
      </c>
      <c r="U28" s="3">
        <f>MAX(0,(Table36[maxPSEco]-Table7[f4Eco]*(Table15[[#This Row],[rpm]]-Table36[maxPRpm])^2)/1.36*9550/MAX(1,Table15[[#This Row],[rpm]]))</f>
        <v>423.0302798202614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452.53267973856202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452.53267973856202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13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13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fuelUsageRatio="0"/&gt;</v>
      </c>
      <c r="L29" s="7" t="str">
        <f>IF(Table15[[#This Row],[rpm]]&lt;1,Table7[xmlComment],IF(A28&gt;Table36[normRpm],"",IF(Table15[[#This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29" s="3">
        <f>(1-(1-Table15[[#This Row],[rpm]]/Table36[idleRpm])^2)*Table7[idleT]</f>
        <v>-1022.8235294117649</v>
      </c>
      <c r="N29" s="3">
        <f>MAX(0,(1-Table7[f1]*(Table36[maxTRpm1]-Table15[[#This Row],[rpm]])^2)*Table36[maxT])</f>
        <v>376.95867768595036</v>
      </c>
      <c r="O29" s="3">
        <f>MAX(0,(Table36[linearDown]*(1-Table7[f2]*(Table15[[#This Row],[rpm]]-Table36[maxTRpm]))+(1-Table36[linearDown])*(1-Table7[f3]*(Table15[[#This Row],[rpm]]-Table36[maxTRpm])^2))*Table36[maxT])</f>
        <v>350.46280276816537</v>
      </c>
      <c r="P29" s="3">
        <f>MAX(0,(Table36[maxPS]-Table7[f4]*(Table15[[#This Row],[rpm]]-Table36[maxPRpm])^2)/1.36*9550/MAX(1,Table15[[#This Row],[rpm]]))</f>
        <v>408.34798593350382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-1022.8235294117649</v>
      </c>
      <c r="S29" s="3">
        <f>MAX(0,(1-Table7[f1]*(Table36[maxTRpm1]-Table15[[#This Row],[rpm]])^2)*Table36[maxTEco])</f>
        <v>376.95867768595036</v>
      </c>
      <c r="T29" s="3">
        <f>MAX(0,(Table36[linearDown]*(1-Table7[f2Eco]*(Table15[[#This Row],[rpm]]-Table36[maxTRpm]))+(1-Table36[linearDown])*(1-Table7[f3Eco]*(Table15[[#This Row],[rpm]]-Table36[maxTRpm])^2))*Table36[maxTEco])</f>
        <v>350.46280276816537</v>
      </c>
      <c r="U29" s="3">
        <f>MAX(0,(Table36[maxPSEco]-Table7[f4Eco]*(Table15[[#This Row],[rpm]]-Table36[maxPRpm])^2)/1.36*9550/MAX(1,Table15[[#This Row],[rpm]]))</f>
        <v>408.34798593350382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442.69501278772373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442.69501278772373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13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13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7" t="str">
        <f>IF(Table15[[#This Row],[rpm]]&lt;1,Table7[xmlComment],IF(A29&gt;Table36[normRpm],"",IF(Table15[[#This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0" s="3">
        <f>(1-(1-Table15[[#This Row],[rpm]]/Table36[idleRpm])^2)*Table7[idleT]</f>
        <v>-1132.1470588235293</v>
      </c>
      <c r="N30" s="3">
        <f>MAX(0,(1-Table7[f1]*(Table36[maxTRpm1]-Table15[[#This Row],[rpm]])^2)*Table36[maxT])</f>
        <v>348.06198347107431</v>
      </c>
      <c r="O30" s="3">
        <f>MAX(0,(Table36[linearDown]*(1-Table7[f2]*(Table15[[#This Row],[rpm]]-Table36[maxTRpm]))+(1-Table36[linearDown])*(1-Table7[f3]*(Table15[[#This Row],[rpm]]-Table36[maxTRpm])^2))*Table36[maxT])</f>
        <v>318.54034505959169</v>
      </c>
      <c r="P30" s="3">
        <f>MAX(0,(Table36[maxPS]-Table7[f4]*(Table15[[#This Row],[rpm]]-Table36[maxPRpm])^2)/1.36*9550/MAX(1,Table15[[#This Row],[rpm]]))</f>
        <v>393.82357830100125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-1132.1470588235293</v>
      </c>
      <c r="S30" s="3">
        <f>MAX(0,(1-Table7[f1]*(Table36[maxTRpm1]-Table15[[#This Row],[rpm]])^2)*Table36[maxTEco])</f>
        <v>348.06198347107431</v>
      </c>
      <c r="T30" s="3">
        <f>MAX(0,(Table36[linearDown]*(1-Table7[f2Eco]*(Table15[[#This Row],[rpm]]-Table36[maxTRpm]))+(1-Table36[linearDown])*(1-Table7[f3Eco]*(Table15[[#This Row],[rpm]]-Table36[maxTRpm])^2))*Table36[maxTEco])</f>
        <v>318.54034505959169</v>
      </c>
      <c r="U30" s="3">
        <f>MAX(0,(Table36[maxPSEco]-Table7[f4Eco]*(Table15[[#This Row],[rpm]]-Table36[maxPRpm])^2)/1.36*9550/MAX(1,Table15[[#This Row],[rpm]]))</f>
        <v>393.82357830100125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433.27596996245302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433.27596996245302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13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13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7" t="str">
        <f>IF(Table15[[#This Row],[rpm]]&lt;1,Table7[xmlComment],IF(A30&gt;Table36[normRpm],"",IF(Table15[[#This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1" s="3">
        <f>(1-(1-Table15[[#This Row],[rpm]]/Table36[idleRpm])^2)*Table7[idleT]</f>
        <v>-1245.1764705882356</v>
      </c>
      <c r="N31" s="3">
        <f>MAX(0,(1-Table7[f1]*(Table36[maxTRpm1]-Table15[[#This Row],[rpm]])^2)*Table36[maxT])</f>
        <v>317.60330578512389</v>
      </c>
      <c r="O31" s="3">
        <f>MAX(0,(Table36[linearDown]*(1-Table7[f2]*(Table15[[#This Row],[rpm]]-Table36[maxTRpm]))+(1-Table36[linearDown])*(1-Table7[f3]*(Table15[[#This Row],[rpm]]-Table36[maxTRpm])^2))*Table36[maxT])</f>
        <v>284.89234909650048</v>
      </c>
      <c r="P31" s="3">
        <f>MAX(0,(Table36[maxPS]-Table7[f4]*(Table15[[#This Row],[rpm]]-Table36[maxPRpm])^2)/1.36*9550/MAX(1,Table15[[#This Row],[rpm]]))</f>
        <v>379.44718903186271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-1245.1764705882356</v>
      </c>
      <c r="S31" s="3">
        <f>MAX(0,(1-Table7[f1]*(Table36[maxTRpm1]-Table15[[#This Row],[rpm]])^2)*Table36[maxTEco])</f>
        <v>317.60330578512389</v>
      </c>
      <c r="T31" s="3">
        <f>MAX(0,(Table36[linearDown]*(1-Table7[f2Eco]*(Table15[[#This Row],[rpm]]-Table36[maxTRpm]))+(1-Table36[linearDown])*(1-Table7[f3Eco]*(Table15[[#This Row],[rpm]]-Table36[maxTRpm])^2))*Table36[maxTEco])</f>
        <v>284.89234909650048</v>
      </c>
      <c r="U31" s="3">
        <f>MAX(0,(Table36[maxPSEco]-Table7[f4Eco]*(Table15[[#This Row],[rpm]]-Table36[maxPRpm])^2)/1.36*9550/MAX(1,Table15[[#This Row],[rpm]]))</f>
        <v>379.44718903186271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424.24938725490193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424.24938725490193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13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13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7" t="str">
        <f>IF(Table15[[#This Row],[rpm]]&lt;1,Table7[xmlComment],IF(A31&gt;Table36[normRpm],"",IF(Table15[[#This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2" s="3">
        <f>(1-(1-Table15[[#This Row],[rpm]]/Table36[idleRpm])^2)*Table7[idleT]</f>
        <v>-1361.9117647058824</v>
      </c>
      <c r="N32" s="3">
        <f>MAX(0,(1-Table7[f1]*(Table36[maxTRpm1]-Table15[[#This Row],[rpm]])^2)*Table36[maxT])</f>
        <v>285.5826446280991</v>
      </c>
      <c r="O32" s="3">
        <f>MAX(0,(Table36[linearDown]*(1-Table7[f2]*(Table15[[#This Row],[rpm]]-Table36[maxTRpm]))+(1-Table36[linearDown])*(1-Table7[f3]*(Table15[[#This Row],[rpm]]-Table36[maxTRpm])^2))*Table36[maxT])</f>
        <v>249.51881487889176</v>
      </c>
      <c r="P32" s="3">
        <f>MAX(0,(Table36[maxPS]-Table7[f4]*(Table15[[#This Row],[rpm]]-Table36[maxPRpm])^2)/1.36*9550/MAX(1,Table15[[#This Row],[rpm]]))</f>
        <v>365.20975577731087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-1361.9117647058824</v>
      </c>
      <c r="S32" s="3">
        <f>MAX(0,(1-Table7[f1]*(Table36[maxTRpm1]-Table15[[#This Row],[rpm]])^2)*Table36[maxTEco])</f>
        <v>285.5826446280991</v>
      </c>
      <c r="T32" s="3">
        <f>MAX(0,(Table36[linearDown]*(1-Table7[f2Eco]*(Table15[[#This Row],[rpm]]-Table36[maxTRpm]))+(1-Table36[linearDown])*(1-Table7[f3Eco]*(Table15[[#This Row],[rpm]]-Table36[maxTRpm])^2))*Table36[maxTEco])</f>
        <v>249.51881487889176</v>
      </c>
      <c r="U32" s="3">
        <f>MAX(0,(Table36[maxPSEco]-Table7[f4Eco]*(Table15[[#This Row],[rpm]]-Table36[maxPRpm])^2)/1.36*9550/MAX(1,Table15[[#This Row],[rpm]]))</f>
        <v>365.20975577731087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415.59123649459781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415.59123649459781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13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13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7" t="str">
        <f>IF(Table15[[#This Row],[rpm]]&lt;1,Table7[xmlComment],IF(A32&gt;Table36[normRpm],"",IF(Table15[[#This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3" s="3">
        <f>(1-(1-Table15[[#This Row],[rpm]]/Table36[idleRpm])^2)*Table7[idleT]</f>
        <v>-1482.3529411764709</v>
      </c>
      <c r="N33" s="3">
        <f>MAX(0,(1-Table7[f1]*(Table36[maxTRpm1]-Table15[[#This Row],[rpm]])^2)*Table36[maxT])</f>
        <v>251.99999999999989</v>
      </c>
      <c r="O33" s="3">
        <f>MAX(0,(Table36[linearDown]*(1-Table7[f2]*(Table15[[#This Row],[rpm]]-Table36[maxTRpm]))+(1-Table36[linearDown])*(1-Table7[f3]*(Table15[[#This Row],[rpm]]-Table36[maxTRpm])^2))*Table36[maxT])</f>
        <v>212.41974240676555</v>
      </c>
      <c r="P33" s="3">
        <f>MAX(0,(Table36[maxPS]-Table7[f4]*(Table15[[#This Row],[rpm]]-Table36[maxPRpm])^2)/1.36*9550/MAX(1,Table15[[#This Row],[rpm]]))</f>
        <v>351.10294117647055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-1482.3529411764709</v>
      </c>
      <c r="S33" s="3">
        <f>MAX(0,(1-Table7[f1]*(Table36[maxTRpm1]-Table15[[#This Row],[rpm]])^2)*Table36[maxTEco])</f>
        <v>251.99999999999989</v>
      </c>
      <c r="T33" s="3">
        <f>MAX(0,(Table36[linearDown]*(1-Table7[f2Eco]*(Table15[[#This Row],[rpm]]-Table36[maxTRpm]))+(1-Table36[linearDown])*(1-Table7[f3Eco]*(Table15[[#This Row],[rpm]]-Table36[maxTRpm])^2))*Table36[maxTEco])</f>
        <v>212.41974240676555</v>
      </c>
      <c r="U33" s="3">
        <f>MAX(0,(Table36[maxPSEco]-Table7[f4Eco]*(Table15[[#This Row],[rpm]]-Table36[maxPRpm])^2)/1.36*9550/MAX(1,Table15[[#This Row],[rpm]]))</f>
        <v>351.10294117647055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407.27941176470586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407.27941176470586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13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13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7" t="str">
        <f>IF(Table15[[#This Row],[rpm]]&lt;1,Table7[xmlComment],IF(A33&gt;Table36[normRpm],"",IF(Table15[[#This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4" s="3">
        <f>(1-(1-Table15[[#This Row],[rpm]]/Table36[idleRpm])^2)*Table7[idleT]</f>
        <v>-1606.5</v>
      </c>
      <c r="N34" s="3">
        <f>MAX(0,(1-Table7[f1]*(Table36[maxTRpm1]-Table15[[#This Row],[rpm]])^2)*Table36[maxT])</f>
        <v>216.85537190082633</v>
      </c>
      <c r="O34" s="3">
        <f>MAX(0,(Table36[linearDown]*(1-Table7[f2]*(Table15[[#This Row],[rpm]]-Table36[maxTRpm]))+(1-Table36[linearDown])*(1-Table7[f3]*(Table15[[#This Row],[rpm]]-Table36[maxTRpm])^2))*Table36[maxT])</f>
        <v>173.59513168012185</v>
      </c>
      <c r="P34" s="3">
        <f>MAX(0,(Table36[maxPS]-Table7[f4]*(Table15[[#This Row],[rpm]]-Table36[maxPRpm])^2)/1.36*9550/MAX(1,Table15[[#This Row],[rpm]]))</f>
        <v>337.11906177912334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-1606.5</v>
      </c>
      <c r="S34" s="3">
        <f>MAX(0,(1-Table7[f1]*(Table36[maxTRpm1]-Table15[[#This Row],[rpm]])^2)*Table36[maxTEco])</f>
        <v>216.85537190082633</v>
      </c>
      <c r="T34" s="3">
        <f>MAX(0,(Table36[linearDown]*(1-Table7[f2Eco]*(Table15[[#This Row],[rpm]]-Table36[maxTRpm]))+(1-Table36[linearDown])*(1-Table7[f3Eco]*(Table15[[#This Row],[rpm]]-Table36[maxTRpm])^2))*Table36[maxTEco])</f>
        <v>173.59513168012185</v>
      </c>
      <c r="U34" s="3">
        <f>MAX(0,(Table36[maxPSEco]-Table7[f4Eco]*(Table15[[#This Row],[rpm]]-Table36[maxPRpm])^2)/1.36*9550/MAX(1,Table15[[#This Row],[rpm]]))</f>
        <v>337.11906177912334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399.29354094579003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399.29354094579003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13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13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7" t="str">
        <f>IF(Table15[[#This Row],[rpm]]&lt;1,Table7[xmlComment],IF(A34&gt;Table36[normRpm],"",IF(Table15[[#This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5" s="3">
        <f>(1-(1-Table15[[#This Row],[rpm]]/Table36[idleRpm])^2)*Table7[idleT]</f>
        <v>-1734.35294117647</v>
      </c>
      <c r="N35" s="3">
        <f>MAX(0,(1-Table7[f1]*(Table36[maxTRpm1]-Table15[[#This Row],[rpm]])^2)*Table36[maxT])</f>
        <v>180.1487603305784</v>
      </c>
      <c r="O35" s="3">
        <f>MAX(0,(Table36[linearDown]*(1-Table7[f2]*(Table15[[#This Row],[rpm]]-Table36[maxTRpm]))+(1-Table36[linearDown])*(1-Table7[f3]*(Table15[[#This Row],[rpm]]-Table36[maxTRpm])^2))*Table36[maxT])</f>
        <v>133.04498269896067</v>
      </c>
      <c r="P35" s="3">
        <f>MAX(0,(Table36[maxPS]-Table7[f4]*(Table15[[#This Row],[rpm]]-Table36[maxPRpm])^2)/1.36*9550/MAX(1,Table15[[#This Row],[rpm]]))</f>
        <v>323.2510251696832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-1734.35294117647</v>
      </c>
      <c r="S35" s="3">
        <f>MAX(0,(1-Table7[f1]*(Table36[maxTRpm1]-Table15[[#This Row],[rpm]])^2)*Table36[maxTEco])</f>
        <v>180.1487603305784</v>
      </c>
      <c r="T35" s="3">
        <f>MAX(0,(Table36[linearDown]*(1-Table7[f2Eco]*(Table15[[#This Row],[rpm]]-Table36[maxTRpm]))+(1-Table36[linearDown])*(1-Table7[f3Eco]*(Table15[[#This Row],[rpm]]-Table36[maxTRpm])^2))*Table36[maxTEco])</f>
        <v>133.04498269896067</v>
      </c>
      <c r="U35" s="3">
        <f>MAX(0,(Table36[maxPSEco]-Table7[f4Eco]*(Table15[[#This Row],[rpm]]-Table36[maxPRpm])^2)/1.36*9550/MAX(1,Table15[[#This Row],[rpm]]))</f>
        <v>323.2510251696832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391.61481900452486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391.61481900452486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13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13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7" t="str">
        <f>IF(Table15[[#This Row],[rpm]]&lt;1,Table7[xmlComment],IF(A35&gt;Table36[normRpm],"",IF(Table15[[#This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6" s="3">
        <f>(1-(1-Table15[[#This Row],[rpm]]/Table36[idleRpm])^2)*Table7[idleT]</f>
        <v>-1865.9117647058824</v>
      </c>
      <c r="N36" s="3">
        <f>MAX(0,(1-Table7[f1]*(Table36[maxTRpm1]-Table15[[#This Row],[rpm]])^2)*Table36[maxT])</f>
        <v>141.88016528925604</v>
      </c>
      <c r="O36" s="3">
        <f>MAX(0,(Table36[linearDown]*(1-Table7[f2]*(Table15[[#This Row],[rpm]]-Table36[maxTRpm]))+(1-Table36[linearDown])*(1-Table7[f3]*(Table15[[#This Row],[rpm]]-Table36[maxTRpm])^2))*Table36[maxT])</f>
        <v>90.769295463281964</v>
      </c>
      <c r="P36" s="3">
        <f>MAX(0,(Table36[maxPS]-Table7[f4]*(Table15[[#This Row],[rpm]]-Table36[maxPRpm])^2)/1.36*9550/MAX(1,Table15[[#This Row],[rpm]]))</f>
        <v>309.49227420921198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-1865.9117647058824</v>
      </c>
      <c r="S36" s="3">
        <f>MAX(0,(1-Table7[f1]*(Table36[maxTRpm1]-Table15[[#This Row],[rpm]])^2)*Table36[maxTEco])</f>
        <v>141.88016528925604</v>
      </c>
      <c r="T36" s="3">
        <f>MAX(0,(Table36[linearDown]*(1-Table7[f2Eco]*(Table15[[#This Row],[rpm]]-Table36[maxTRpm]))+(1-Table36[linearDown])*(1-Table7[f3Eco]*(Table15[[#This Row],[rpm]]-Table36[maxTRpm])^2))*Table36[maxTEco])</f>
        <v>90.769295463281964</v>
      </c>
      <c r="U36" s="3">
        <f>MAX(0,(Table36[maxPSEco]-Table7[f4Eco]*(Table15[[#This Row],[rpm]]-Table36[maxPRpm])^2)/1.36*9550/MAX(1,Table15[[#This Row],[rpm]]))</f>
        <v>309.49227420921198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384.22586015538286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384.22586015538286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13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13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7" t="str">
        <f>IF(Table15[[#This Row],[rpm]]&lt;1,Table7[xmlComment],IF(A36&gt;Table36[normRpm],"",IF(Table15[[#This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7" s="3">
        <f>(1-(1-Table15[[#This Row],[rpm]]/Table36[idleRpm])^2)*Table7[idleT]</f>
        <v>-2140.1470588235293</v>
      </c>
      <c r="N37" s="3">
        <f>MAX(0,(1-Table7[f1]*(Table36[maxTRpm1]-Table15[[#This Row],[rpm]])^2)*Table36[maxT])</f>
        <v>60.657024793388274</v>
      </c>
      <c r="O37" s="3">
        <f>MAX(0,(Table36[linearDown]*(1-Table7[f2]*(Table15[[#This Row],[rpm]]-Table36[maxTRpm]))+(1-Table36[linearDown])*(1-Table7[f3]*(Table15[[#This Row],[rpm]]-Table36[maxTRpm])^2))*Table36[maxT])</f>
        <v>1.0413062283720653</v>
      </c>
      <c r="P37" s="3">
        <f>MAX(0,(Table36[maxPS]-Table7[f4]*(Table15[[#This Row],[rpm]]-Table36[maxPRpm])^2)/1.36*9550/MAX(1,Table15[[#This Row],[rpm]]))</f>
        <v>282.27878509358288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-2140.1470588235293</v>
      </c>
      <c r="S37" s="3">
        <f>MAX(0,(1-Table7[f1]*(Table36[maxTRpm1]-Table15[[#This Row],[rpm]])^2)*Table36[maxTEco])</f>
        <v>60.657024793388274</v>
      </c>
      <c r="T37" s="3">
        <f>MAX(0,(Table36[linearDown]*(1-Table7[f2Eco]*(Table15[[#This Row],[rpm]]-Table36[maxTRpm]))+(1-Table36[linearDown])*(1-Table7[f3Eco]*(Table15[[#This Row],[rpm]]-Table36[maxTRpm])^2))*Table36[maxTEco])</f>
        <v>1.0413062283720653</v>
      </c>
      <c r="U37" s="3">
        <f>MAX(0,(Table36[maxPSEco]-Table7[f4Eco]*(Table15[[#This Row],[rpm]]-Table36[maxPRpm])^2)/1.36*9550/MAX(1,Table15[[#This Row],[rpm]]))</f>
        <v>282.27878509358288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370.25401069518711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370.25401069518711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13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13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7" t="str">
        <f>IF(Table15[[#This Row],[rpm]]&lt;1,Table7[xmlComment],IF(A37&gt;Table36[normRpm],"",IF(Table15[[#This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8" s="3">
        <f>(1-(1-Table15[[#This Row],[rpm]]/Table36[idleRpm])^2)*Table7[idleT]</f>
        <v>-2890.5882352941171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0</v>
      </c>
      <c r="P38" s="3">
        <f>MAX(0,(Table36[maxPS]-Table7[f4]*(Table15[[#This Row],[rpm]]-Table36[maxPRpm])^2)/1.36*9550/MAX(1,Table15[[#This Row],[rpm]]))</f>
        <v>215.78201593137254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-2890.5882352941171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0</v>
      </c>
      <c r="U38" s="3">
        <f>MAX(0,(Table36[maxPSEco]-Table7[f4Eco]*(Table15[[#This Row],[rpm]]-Table36[maxPRpm])^2)/1.36*9550/MAX(1,Table15[[#This Row],[rpm]]))</f>
        <v>215.78201593137254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339.39950980392155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339.39950980392155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13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13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7" t="str">
        <f>IF(Table15[[#This Row],[rpm]]&lt;1,Table7[xmlComment],IF(A38&gt;Table36[normRpm],"",IF(Table15[[#This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9" s="3">
        <f>(1-(1-Table15[[#This Row],[rpm]]/Table36[idleRpm])^2)*Table7[idleT]</f>
        <v>-3733.676470588236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0</v>
      </c>
      <c r="P39" s="3">
        <f>MAX(0,(Table36[maxPS]-Table7[f4]*(Table15[[#This Row],[rpm]]-Table36[maxPRpm])^2)/1.36*9550/MAX(1,Table15[[#This Row],[rpm]]))</f>
        <v>151.07554440045249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-3733.676470588236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151.07554440045249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313.29185520361989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313.29185520361989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13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13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7" t="str">
        <f>IF(Table15[[#This Row],[rpm]]&lt;1,Table7[xmlComment],IF(A39&gt;Table36[normRpm],"",IF(Table15[[#This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0" s="3">
        <f>(1-(1-Table15[[#This Row],[rpm]]/Table36[idleRpm])^2)*Table7[idleT]</f>
        <v>-4669.4117647058811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87.775735294117638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-4669.4117647058811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87.775735294117638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290.91386554621846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290.91386554621846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13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13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7" t="str">
        <f>IF(Table15[[#This Row],[rpm]]&lt;1,Table7[xmlComment],IF(A40&gt;Table36[normRpm],"",IF(Table15[[#This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1" s="3">
        <f>(1-(1-Table15[[#This Row],[rpm]]/Table36[idleRpm])^2)*Table7[idleT]</f>
        <v>-5697.7941176470595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25.601256127450981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-5697.7941176470595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25.601256127450981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271.51960784313724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271.51960784313724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13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13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7" t="str">
        <f>IF(Table15[[#This Row],[rpm]]&lt;1,Table7[xmlComment],IF(A41&gt;Table36[normRpm],"",IF(Table15[[#This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2" s="3">
        <f>(1-(1-Table15[[#This Row],[rpm]]/Table36[idleRpm])^2)*Table7[idleT]</f>
        <v>-6818.8235294117658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-6818.8235294117658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254.54963235294116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254.54963235294116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13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13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23" t="str">
        <f>IF(Table15[[#This Row],[rpm]]&lt;1,Table7[xmlComment],IF(A42&gt;Table36[normRpm],"",IF(Table15[[#This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3" s="3">
        <f>(1-(1-Table15[[#This Row],[rpm]]/Table36[idleRpm])^2)*Table7[idleT]</f>
        <v>-8032.5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-8032.5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239.57612456747401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239.57612456747401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13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13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23" t="str">
        <f>IF(Table15[[#This Row],[rpm]]&lt;1,Table7[xmlComment],IF(A43&gt;Table36[normRpm],"",IF(Table15[[#This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4" s="3">
        <f>(1-(1-Table15[[#This Row],[rpm]]/Table36[idleRpm])^2)*Table7[idleT]</f>
        <v>-9338.823529411764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-9338.823529411764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226.26633986928101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226.26633986928101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13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13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23" t="str">
        <f>IF(Table15[[#This Row],[rpm]]&lt;1,Table7[xmlComment],IF(A44&gt;Table36[normRpm],"",IF(Table15[[#This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5" s="3">
        <f>(1-(1-Table15[[#This Row],[rpm]]/Table36[idleRpm])^2)*Table7[idleT]</f>
        <v>-10737.794117647058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-10737.794117647058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214.35758513931887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214.35758513931887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13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13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23" t="str">
        <f>IF(Table15[[#This Row],[rpm]]&lt;1,Table7[xmlComment],IF(A45&gt;Table36[normRpm],"",IF(Table15[[#This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6" s="3">
        <f>(1-(1-Table15[[#This Row],[rpm]]/Table36[idleRpm])^2)*Table7[idleT]</f>
        <v>-12229.411764705885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-12229.411764705885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203.63970588235293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203.63970588235293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13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13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23" t="str">
        <f>IF(Table15[[#This Row],[rpm]]&lt;1,Table7[xmlComment],IF(A46&gt;Table36[normRpm],"",IF(Table15[[#This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7" s="3">
        <f>(1-(1-Table15[[#This Row],[rpm]]/Table36[idleRpm])^2)*Table7[idleT]</f>
        <v>-13813.676470588236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-13813.676470588236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193.94257703081229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193.94257703081229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13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13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23" t="str">
        <f>IF(Table15[[#This Row],[rpm]]&lt;1,Table7[xmlComment],IF(A47&gt;Table36[normRpm],"",IF(Table15[[#This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8" s="3">
        <f>(1-(1-Table15[[#This Row],[rpm]]/Table36[idleRpm])^2)*Table7[idleT]</f>
        <v>-15490.588235294119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-15490.588235294119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185.12700534759355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185.12700534759355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13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13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23" t="str">
        <f>IF(Table15[[#This Row],[rpm]]&lt;1,Table7[xmlComment],IF(A48&gt;Table36[normRpm],"",IF(Table15[[#This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9" s="3">
        <f>(1-(1-Table15[[#This Row],[rpm]]/Table36[idleRpm])^2)*Table7[idleT]</f>
        <v>-17260.147058823528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-17260.147058823528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177.0780051150895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177.0780051150895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13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13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23" t="str">
        <f>IF(Table15[[#This Row],[rpm]]&lt;1,Table7[xmlComment],IF(A49&gt;Table36[normRpm],"",IF(Table15[[#This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0" s="3">
        <f>(1-(1-Table15[[#This Row],[rpm]]/Table36[idleRpm])^2)*Table7[idleT]</f>
        <v>-19122.352941176468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-19122.352941176468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169.69975490196077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169.69975490196077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13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13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23" t="str">
        <f>IF(Table15[[#This Row],[rpm]]&lt;1,Table7[xmlComment],IF(A50&gt;Table36[normRpm],"",IF(Table15[[#This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1" s="3">
        <f>(1-(1-Table15[[#This Row],[rpm]]/Table36[idleRpm])^2)*Table7[idleT]</f>
        <v>-21077.205882352941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-21077.205882352941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162.91176470588232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162.91176470588232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13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13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23" t="str">
        <f>IF(Table15[[#This Row],[rpm]]&lt;1,Table7[xmlComment],IF(A51&gt;Table36[normRpm],"",IF(Table15[[#This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2" s="3">
        <f>(1-(1-Table15[[#This Row],[rpm]]/Table36[idleRpm])^2)*Table7[idleT]</f>
        <v>-23124.705882352944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-23124.705882352944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156.64592760180994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156.64592760180994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13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13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23" t="str">
        <f>IF(Table15[[#This Row],[rpm]]&lt;1,Table7[xmlComment],IF(A52&gt;Table36[normRpm],"",IF(Table15[[#This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3" s="3">
        <f>(1-(1-Table15[[#This Row],[rpm]]/Table36[idleRpm])^2)*Table7[idleT]</f>
        <v>-25264.852941176472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-25264.852941176472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150.84422657952067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150.84422657952067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13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13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23" t="str">
        <f>IF(Table15[[#This Row],[rpm]]&lt;1,Table7[xmlComment],IF(A53&gt;Table36[normRpm],"",IF(Table15[[#This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4" s="3">
        <f>(1-(1-Table15[[#This Row],[rpm]]/Table36[idleRpm])^2)*Table7[idleT]</f>
        <v>-27497.647058823521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-27497.647058823521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145.45693277310923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145.45693277310923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13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13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23" t="str">
        <f>IF(Table15[[#This Row],[rpm]]&lt;1,Table7[xmlComment],IF(A54&gt;Table36[normRpm],"",IF(Table15[[#This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5" s="3">
        <f>(1-(1-Table15[[#This Row],[rpm]]/Table36[idleRpm])^2)*Table7[idleT]</f>
        <v>-29823.088235294119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-29823.088235294119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140.44117647058823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140.44117647058823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13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13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23" t="str">
        <f>IF(Table15[[#This Row],[rpm]]&lt;1,Table7[xmlComment],IF(A55&gt;Table36[normRpm],"",IF(Table15[[#This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6" s="3">
        <f>(1-(1-Table15[[#This Row],[rpm]]/Table36[idleRpm])^2)*Table7[idleT]</f>
        <v>-32241.176470588238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-32241.176470588238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135.75980392156862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135.75980392156862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13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13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23" t="str">
        <f>IF(Table15[[#This Row],[rpm]]&lt;1,Table7[xmlComment],IF(A56&gt;Table36[normRpm],"",IF(Table15[[#This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7" s="3">
        <f>(1-(1-Table15[[#This Row],[rpm]]/Table36[idleRpm])^2)*Table7[idleT]</f>
        <v>-34751.911764705874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-34751.911764705874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131.38045540796963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131.38045540796963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13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13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23" t="str">
        <f>IF(Table15[[#This Row],[rpm]]&lt;1,Table7[xmlComment],IF(A57&gt;Table36[normRpm],"",IF(Table15[[#This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8" s="3">
        <f>(1-(1-Table15[[#This Row],[rpm]]/Table36[idleRpm])^2)*Table7[idleT]</f>
        <v>-37355.294117647063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-37355.294117647063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127.27481617647058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127.27481617647058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13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13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23" t="str">
        <f>IF(Table15[[#This Row],[rpm]]&lt;1,Table7[xmlComment],IF(A58&gt;Table36[normRpm],"",IF(Table15[[#This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9" s="3">
        <f>(1-(1-Table15[[#This Row],[rpm]]/Table36[idleRpm])^2)*Table7[idleT]</f>
        <v>-40051.323529411762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-40051.323529411762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123.41800356506238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123.41800356506238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13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13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23" t="str">
        <f>IF(Table15[[#This Row],[rpm]]&lt;1,Table7[xmlComment],IF(A59&gt;Table36[normRpm],"",IF(Table15[[#This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0" s="3">
        <f>(1-(1-Table15[[#This Row],[rpm]]/Table36[idleRpm])^2)*Table7[idleT]</f>
        <v>-42840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-42840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119.78806228373701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119.78806228373701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13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13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23" t="str">
        <f>IF(Table15[[#This Row],[rpm]]&lt;1,Table7[xmlComment],IF(A60&gt;Table36[normRpm],"",IF(Table15[[#This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1" s="3">
        <f>(1-(1-Table15[[#This Row],[rpm]]/Table36[idleRpm])^2)*Table7[idleT]</f>
        <v>-45721.323529411769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-45721.323529411769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116.36554621848738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116.36554621848738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13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13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23" t="str">
        <f>IF(Table15[[#This Row],[rpm]]&lt;1,Table7[xmlComment],IF(A61&gt;Table36[normRpm],"",IF(Table15[[#This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2" s="3">
        <f>(1-(1-Table15[[#This Row],[rpm]]/Table36[idleRpm])^2)*Table7[idleT]</f>
        <v>-48695.294117647056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-48695.294117647056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113.13316993464051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113.13316993464051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28" t="s">
        <v>18</v>
      </c>
      <c r="B1" s="29" t="s">
        <v>23</v>
      </c>
      <c r="C1" s="29" t="s">
        <v>8</v>
      </c>
      <c r="D1" s="29" t="s">
        <v>10</v>
      </c>
      <c r="E1" s="29" t="s">
        <v>22</v>
      </c>
      <c r="F1" s="29" t="s">
        <v>12</v>
      </c>
      <c r="G1" s="30" t="s">
        <v>13</v>
      </c>
      <c r="H1" s="35" t="s">
        <v>14</v>
      </c>
      <c r="I1" s="35" t="s">
        <v>27</v>
      </c>
      <c r="K1" s="26" t="s">
        <v>19</v>
      </c>
      <c r="L1" s="26" t="s">
        <v>20</v>
      </c>
    </row>
    <row r="2" spans="1:12" x14ac:dyDescent="0.25">
      <c r="A2" s="31">
        <v>1900</v>
      </c>
      <c r="B2" s="32">
        <v>396</v>
      </c>
      <c r="C2" s="33">
        <v>2100</v>
      </c>
      <c r="D2" s="34">
        <v>390</v>
      </c>
      <c r="E2" s="31">
        <v>1450</v>
      </c>
      <c r="F2" s="32">
        <v>1450</v>
      </c>
      <c r="G2" s="32">
        <v>1538</v>
      </c>
      <c r="H2" s="19">
        <v>800</v>
      </c>
      <c r="I2" s="36">
        <v>1.0900000000000001</v>
      </c>
      <c r="K2" s="27">
        <f>Table2[maxPS]/1.36*9550/Table2[maxPRpm]</f>
        <v>1463.5448916408668</v>
      </c>
      <c r="L2" s="27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2018-02-02T22:13:55Z</dcterms:modified>
</cp:coreProperties>
</file>