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4710" yWindow="0" windowWidth="13200" windowHeight="10320" activeTab="5"/>
  </bookViews>
  <sheets>
    <sheet name="ZF" sheetId="1" r:id="rId1"/>
    <sheet name="Fendt" sheetId="2" r:id="rId2"/>
    <sheet name="Combine" sheetId="3" r:id="rId3"/>
    <sheet name="Linde" sheetId="4" r:id="rId4"/>
    <sheet name="Compound" sheetId="5" r:id="rId5"/>
    <sheet name="Claa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C22" i="6"/>
  <c r="D22" i="6" s="1"/>
  <c r="A22" i="6" s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C23" i="1" l="1"/>
  <c r="D23" i="1"/>
  <c r="E23" i="1"/>
  <c r="F23" i="1"/>
  <c r="K23" i="1" s="1"/>
  <c r="G23" i="1"/>
  <c r="I23" i="1"/>
  <c r="J23" i="1"/>
  <c r="C22" i="1"/>
  <c r="D22" i="1"/>
  <c r="E22" i="1"/>
  <c r="F22" i="1"/>
  <c r="H22" i="1" s="1"/>
  <c r="G22" i="1"/>
  <c r="I22" i="1"/>
  <c r="J22" i="1"/>
  <c r="K22" i="1"/>
  <c r="C21" i="1"/>
  <c r="I21" i="1" s="1"/>
  <c r="D21" i="1"/>
  <c r="E21" i="1"/>
  <c r="F21" i="1"/>
  <c r="H21" i="1" s="1"/>
  <c r="G21" i="1"/>
  <c r="K21" i="1"/>
  <c r="H23" i="1" l="1"/>
  <c r="J21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2"/>
  <c r="C3" i="2"/>
  <c r="C4" i="2"/>
  <c r="C5" i="2"/>
  <c r="C6" i="2"/>
  <c r="C7" i="2"/>
  <c r="C2" i="3"/>
  <c r="C3" i="3"/>
  <c r="C4" i="3"/>
  <c r="C5" i="3"/>
  <c r="C6" i="3"/>
  <c r="C7" i="3"/>
  <c r="C8" i="3"/>
  <c r="C9" i="3"/>
  <c r="C10" i="3"/>
  <c r="C1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B61" i="1" l="1"/>
  <c r="B62" i="1"/>
  <c r="B64" i="1"/>
  <c r="B65" i="1"/>
  <c r="B53" i="1"/>
  <c r="B54" i="1"/>
  <c r="B56" i="1"/>
  <c r="B57" i="1"/>
  <c r="B45" i="1"/>
  <c r="B46" i="1"/>
  <c r="B48" i="1"/>
  <c r="B49" i="1"/>
  <c r="B38" i="1"/>
  <c r="B40" i="1"/>
  <c r="B41" i="1"/>
  <c r="B37" i="1"/>
  <c r="L6" i="1" l="1"/>
  <c r="B51" i="1"/>
  <c r="B59" i="1"/>
  <c r="B60" i="1"/>
  <c r="B44" i="1"/>
  <c r="B52" i="1"/>
  <c r="B43" i="1"/>
  <c r="B42" i="1"/>
  <c r="B36" i="1"/>
  <c r="H5" i="1" l="1"/>
  <c r="I5" i="1" l="1"/>
  <c r="D5" i="1"/>
  <c r="F16" i="1" l="1"/>
  <c r="A64" i="1" s="1"/>
  <c r="F10" i="1"/>
  <c r="F20" i="1"/>
  <c r="H20" i="1" s="1"/>
  <c r="F14" i="1"/>
  <c r="A62" i="1" s="1"/>
  <c r="F18" i="1"/>
  <c r="H18" i="1" s="1"/>
  <c r="F12" i="1"/>
  <c r="N5" i="1"/>
  <c r="F29" i="1"/>
  <c r="C5" i="1"/>
  <c r="L5" i="1"/>
  <c r="M5" i="1"/>
  <c r="J16" i="1" l="1"/>
  <c r="H16" i="1"/>
  <c r="E16" i="1"/>
  <c r="A56" i="1" s="1"/>
  <c r="E10" i="1"/>
  <c r="H10" i="1"/>
  <c r="J10" i="1"/>
  <c r="J20" i="1"/>
  <c r="H14" i="1"/>
  <c r="J14" i="1"/>
  <c r="E20" i="1"/>
  <c r="E14" i="1"/>
  <c r="A54" i="1" s="1"/>
  <c r="J18" i="1"/>
  <c r="E18" i="1"/>
  <c r="H12" i="1"/>
  <c r="A60" i="1"/>
  <c r="J12" i="1"/>
  <c r="B5" i="1"/>
  <c r="E12" i="1"/>
  <c r="A52" i="1" s="1"/>
  <c r="E15" i="1"/>
  <c r="A55" i="1" s="1"/>
  <c r="F28" i="1"/>
  <c r="B15" i="1"/>
  <c r="F15" i="1"/>
  <c r="A63" i="1" s="1"/>
  <c r="B55" i="1" l="1"/>
  <c r="B63" i="1"/>
  <c r="D16" i="1"/>
  <c r="A48" i="1" s="1"/>
  <c r="D10" i="1"/>
  <c r="B39" i="1"/>
  <c r="B47" i="1"/>
  <c r="D20" i="1"/>
  <c r="D14" i="1"/>
  <c r="A46" i="1" s="1"/>
  <c r="D18" i="1"/>
  <c r="A5" i="1"/>
  <c r="C10" i="1" s="1"/>
  <c r="F27" i="1"/>
  <c r="H27" i="1" s="1"/>
  <c r="D15" i="1"/>
  <c r="A47" i="1" s="1"/>
  <c r="D12" i="1"/>
  <c r="A44" i="1" s="1"/>
  <c r="B35" i="1"/>
  <c r="B58" i="1"/>
  <c r="B66" i="1"/>
  <c r="B50" i="1"/>
  <c r="B34" i="1"/>
  <c r="H28" i="1"/>
  <c r="H29" i="1"/>
  <c r="H15" i="1"/>
  <c r="J15" i="1"/>
  <c r="J29" i="1"/>
  <c r="J28" i="1"/>
  <c r="I29" i="1"/>
  <c r="I28" i="1"/>
  <c r="D11" i="1"/>
  <c r="A43" i="1" s="1"/>
  <c r="E11" i="1"/>
  <c r="A51" i="1" s="1"/>
  <c r="D19" i="1"/>
  <c r="A50" i="1" s="1"/>
  <c r="E19" i="1"/>
  <c r="A58" i="1" s="1"/>
  <c r="D17" i="1"/>
  <c r="A49" i="1" s="1"/>
  <c r="E17" i="1"/>
  <c r="A57" i="1" s="1"/>
  <c r="E13" i="1"/>
  <c r="A53" i="1" s="1"/>
  <c r="D13" i="1"/>
  <c r="A45" i="1" s="1"/>
  <c r="F11" i="1"/>
  <c r="A59" i="1" s="1"/>
  <c r="G10" i="1" l="1"/>
  <c r="K10" i="1" s="1"/>
  <c r="I10" i="1"/>
  <c r="C14" i="1"/>
  <c r="A38" i="1" s="1"/>
  <c r="C16" i="1"/>
  <c r="A40" i="1" s="1"/>
  <c r="C11" i="1"/>
  <c r="A35" i="1" s="1"/>
  <c r="F26" i="1"/>
  <c r="H26" i="1" s="1"/>
  <c r="I27" i="1"/>
  <c r="E5" i="1"/>
  <c r="C9" i="1" s="1"/>
  <c r="C20" i="1"/>
  <c r="C15" i="1"/>
  <c r="A39" i="1" s="1"/>
  <c r="C12" i="1"/>
  <c r="A36" i="1" s="1"/>
  <c r="J27" i="1"/>
  <c r="G27" i="1"/>
  <c r="C18" i="1"/>
  <c r="D8" i="1"/>
  <c r="G28" i="1"/>
  <c r="K28" i="1" s="1"/>
  <c r="E8" i="1"/>
  <c r="G26" i="1"/>
  <c r="G29" i="1"/>
  <c r="K29" i="1" s="1"/>
  <c r="H11" i="1"/>
  <c r="J11" i="1"/>
  <c r="C13" i="1"/>
  <c r="A37" i="1" s="1"/>
  <c r="F13" i="1"/>
  <c r="A61" i="1" s="1"/>
  <c r="F8" i="1"/>
  <c r="F17" i="1"/>
  <c r="A65" i="1" s="1"/>
  <c r="F19" i="1"/>
  <c r="A66" i="1" s="1"/>
  <c r="C8" i="1"/>
  <c r="C17" i="1"/>
  <c r="A41" i="1" s="1"/>
  <c r="C19" i="1"/>
  <c r="G11" i="1" l="1"/>
  <c r="K11" i="1" s="1"/>
  <c r="L10" i="1"/>
  <c r="I26" i="1"/>
  <c r="I11" i="1"/>
  <c r="I14" i="1"/>
  <c r="G14" i="1"/>
  <c r="K14" i="1" s="1"/>
  <c r="I16" i="1"/>
  <c r="G16" i="1"/>
  <c r="K16" i="1" s="1"/>
  <c r="J26" i="1"/>
  <c r="I15" i="1"/>
  <c r="G15" i="1"/>
  <c r="K15" i="1" s="1"/>
  <c r="G20" i="1"/>
  <c r="K20" i="1" s="1"/>
  <c r="I20" i="1"/>
  <c r="K27" i="1"/>
  <c r="G12" i="1"/>
  <c r="K12" i="1" s="1"/>
  <c r="L11" i="1" s="1"/>
  <c r="I12" i="1"/>
  <c r="L28" i="1"/>
  <c r="F9" i="1"/>
  <c r="E9" i="1"/>
  <c r="D9" i="1"/>
  <c r="G9" i="1"/>
  <c r="I9" i="1"/>
  <c r="A42" i="1"/>
  <c r="G18" i="1"/>
  <c r="K18" i="1" s="1"/>
  <c r="I18" i="1"/>
  <c r="I17" i="1"/>
  <c r="I8" i="1"/>
  <c r="A34" i="1"/>
  <c r="I13" i="1"/>
  <c r="I19" i="1"/>
  <c r="H13" i="1"/>
  <c r="J13" i="1"/>
  <c r="H19" i="1"/>
  <c r="J19" i="1"/>
  <c r="H17" i="1"/>
  <c r="J17" i="1"/>
  <c r="H8" i="1"/>
  <c r="J8" i="1"/>
  <c r="G19" i="1"/>
  <c r="G17" i="1"/>
  <c r="K17" i="1" s="1"/>
  <c r="L16" i="1" s="1"/>
  <c r="G8" i="1"/>
  <c r="K8" i="1" s="1"/>
  <c r="L8" i="1" s="1"/>
  <c r="G13" i="1"/>
  <c r="K13" i="1" s="1"/>
  <c r="K19" i="1"/>
  <c r="L15" i="1" l="1"/>
  <c r="L12" i="1"/>
  <c r="L18" i="1"/>
  <c r="K26" i="1"/>
  <c r="L26" i="1" s="1"/>
  <c r="L13" i="1"/>
  <c r="L14" i="1"/>
  <c r="L17" i="1"/>
  <c r="L27" i="1"/>
  <c r="L19" i="1"/>
  <c r="K9" i="1"/>
  <c r="L9" i="1" s="1"/>
  <c r="J9" i="1"/>
  <c r="H9" i="1"/>
  <c r="L25" i="1"/>
</calcChain>
</file>

<file path=xl/sharedStrings.xml><?xml version="1.0" encoding="utf-8"?>
<sst xmlns="http://schemas.openxmlformats.org/spreadsheetml/2006/main" count="63" uniqueCount="47">
  <si>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</si>
  <si>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</si>
  <si>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</si>
  <si>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</si>
  <si>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</si>
  <si>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</si>
  <si>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</si>
  <si>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</si>
  <si>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</si>
  <si>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</si>
  <si>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</si>
  <si>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</si>
  <si>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</si>
  <si>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</si>
  <si>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</si>
  <si>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</si>
  <si>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</si>
  <si>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</si>
  <si>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</si>
  <si>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</si>
  <si>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</si>
  <si>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</si>
  <si>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</si>
  <si>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</si>
  <si>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</si>
  <si>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</si>
  <si>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</si>
  <si>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</si>
  <si>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</si>
  <si>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</si>
  <si>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</si>
  <si>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</si>
  <si>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</si>
  <si>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&lt;/gears&gt;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</si>
  <si>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</si>
  <si>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</si>
  <si>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</si>
  <si>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</si>
  <si>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</si>
  <si>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</si>
  <si>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</si>
  <si>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</si>
  <si>
    <t xml:space="preserve">      &lt;gears automatic="true"&gt;</t>
  </si>
  <si>
    <t xml:space="preserve">      &lt;reverse ratio="1"/&gt;</t>
  </si>
  <si>
    <t>e</t>
  </si>
  <si>
    <t>r</t>
  </si>
  <si>
    <t>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</si>
</sst>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  <xf numFmtId="164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Fill="1" applyBorder="1"/>
  </cellXfs>
  <cellStyles count="1">
    <cellStyle name="Normal" xfId="0" builtinId="0"/>
  </cellStyles>
  <dxfs count="58"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ZF!$C$7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ZF!$C$8:$C$23</c:f>
              <c:numCache>
                <c:formatCode>0.00</c:formatCode>
                <c:ptCount val="16"/>
                <c:pt idx="0">
                  <c:v>0</c:v>
                </c:pt>
                <c:pt idx="1">
                  <c:v>0.2880586592178771</c:v>
                </c:pt>
                <c:pt idx="2">
                  <c:v>1.2674581005586592</c:v>
                </c:pt>
                <c:pt idx="3">
                  <c:v>3.8599860335195535</c:v>
                </c:pt>
                <c:pt idx="4">
                  <c:v>4.6089385474860336</c:v>
                </c:pt>
                <c:pt idx="5">
                  <c:v>5.1850558659217878</c:v>
                </c:pt>
                <c:pt idx="6">
                  <c:v>5.4731145251396649</c:v>
                </c:pt>
                <c:pt idx="7">
                  <c:v>5.761173184357542</c:v>
                </c:pt>
                <c:pt idx="8">
                  <c:v>5.9916201117318435</c:v>
                </c:pt>
                <c:pt idx="9">
                  <c:v>6.3372905027932971</c:v>
                </c:pt>
                <c:pt idx="10">
                  <c:v>6.9134078212290504</c:v>
                </c:pt>
                <c:pt idx="11">
                  <c:v>7.6623603351955314</c:v>
                </c:pt>
                <c:pt idx="12">
                  <c:v>8.641759776536313</c:v>
                </c:pt>
                <c:pt idx="13">
                  <c:v>9.6211592178770946</c:v>
                </c:pt>
                <c:pt idx="14">
                  <c:v>10.082053072625698</c:v>
                </c:pt>
                <c:pt idx="15">
                  <c:v>11.522346368715084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5-49B6-8BF0-9694BD3BC9D9}"/>
            </c:ext>
          </c:extLst>
        </c:ser>
        <c:ser>
          <c:idx val="2"/>
          <c:order val="2"/>
          <c:tx>
            <c:strRef>
              <c:f>ZF!$F$7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ZF!$F$8:$F$23</c:f>
              <c:numCache>
                <c:formatCode>0.00</c:formatCode>
                <c:ptCount val="16"/>
                <c:pt idx="0">
                  <c:v>0</c:v>
                </c:pt>
                <c:pt idx="1">
                  <c:v>2.3044692737430168</c:v>
                </c:pt>
                <c:pt idx="2">
                  <c:v>10.139664804469273</c:v>
                </c:pt>
                <c:pt idx="3">
                  <c:v>30.879888268156428</c:v>
                </c:pt>
                <c:pt idx="4">
                  <c:v>36.871508379888269</c:v>
                </c:pt>
                <c:pt idx="5">
                  <c:v>41.480446927374302</c:v>
                </c:pt>
                <c:pt idx="6">
                  <c:v>43.784916201117319</c:v>
                </c:pt>
                <c:pt idx="7">
                  <c:v>46.089385474860336</c:v>
                </c:pt>
                <c:pt idx="8">
                  <c:v>47.932960893854748</c:v>
                </c:pt>
                <c:pt idx="9">
                  <c:v>50.698324022346377</c:v>
                </c:pt>
                <c:pt idx="10">
                  <c:v>55.307262569832403</c:v>
                </c:pt>
                <c:pt idx="11">
                  <c:v>61.298882681564251</c:v>
                </c:pt>
                <c:pt idx="12">
                  <c:v>69.134078212290504</c:v>
                </c:pt>
                <c:pt idx="13">
                  <c:v>76.969273743016757</c:v>
                </c:pt>
                <c:pt idx="14">
                  <c:v>80.656424581005581</c:v>
                </c:pt>
                <c:pt idx="15">
                  <c:v>92.178770949720672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5-49B6-8BF0-9694BD3BC9D9}"/>
            </c:ext>
          </c:extLst>
        </c:ser>
        <c:ser>
          <c:idx val="3"/>
          <c:order val="3"/>
          <c:tx>
            <c:strRef>
              <c:f>ZF!$G$7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ZF!$G$8:$G$23</c:f>
              <c:numCache>
                <c:formatCode>0.0000</c:formatCode>
                <c:ptCount val="16"/>
                <c:pt idx="0">
                  <c:v>0</c:v>
                </c:pt>
                <c:pt idx="1">
                  <c:v>0.10474860335195531</c:v>
                </c:pt>
                <c:pt idx="2">
                  <c:v>0.46089385474860334</c:v>
                </c:pt>
                <c:pt idx="3" formatCode="0.0">
                  <c:v>1.4036312849162014</c:v>
                </c:pt>
                <c:pt idx="4">
                  <c:v>1.6759776536312849</c:v>
                </c:pt>
                <c:pt idx="5" formatCode="0.0">
                  <c:v>1.8854748603351956</c:v>
                </c:pt>
                <c:pt idx="6">
                  <c:v>1.990223463687151</c:v>
                </c:pt>
                <c:pt idx="7" formatCode="0.0">
                  <c:v>2.0949720670391061</c:v>
                </c:pt>
                <c:pt idx="8">
                  <c:v>2.1787709497206706</c:v>
                </c:pt>
                <c:pt idx="9" formatCode="0.0">
                  <c:v>2.3044692737430172</c:v>
                </c:pt>
                <c:pt idx="10">
                  <c:v>2.5139664804469275</c:v>
                </c:pt>
                <c:pt idx="11" formatCode="0.0">
                  <c:v>2.7863128491620115</c:v>
                </c:pt>
                <c:pt idx="12">
                  <c:v>3.1424581005586592</c:v>
                </c:pt>
                <c:pt idx="13">
                  <c:v>3.4986033519553073</c:v>
                </c:pt>
                <c:pt idx="14">
                  <c:v>3.6662011173184355</c:v>
                </c:pt>
                <c:pt idx="15">
                  <c:v>4.1899441340782122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5-49B6-8BF0-9694BD3BC9D9}"/>
            </c:ext>
          </c:extLst>
        </c:ser>
        <c:ser>
          <c:idx val="4"/>
          <c:order val="4"/>
          <c:tx>
            <c:strRef>
              <c:f>ZF!$H$7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ZF!$H$8:$H$23</c:f>
              <c:numCache>
                <c:formatCode>0.00000</c:formatCode>
                <c:ptCount val="16"/>
                <c:pt idx="0">
                  <c:v>0</c:v>
                </c:pt>
                <c:pt idx="1">
                  <c:v>0.83798882681564246</c:v>
                </c:pt>
                <c:pt idx="2">
                  <c:v>3.6871508379888267</c:v>
                </c:pt>
                <c:pt idx="3" formatCode="0.0">
                  <c:v>11.229050279329611</c:v>
                </c:pt>
                <c:pt idx="4">
                  <c:v>13.407821229050279</c:v>
                </c:pt>
                <c:pt idx="5" formatCode="0.0">
                  <c:v>15.083798882681565</c:v>
                </c:pt>
                <c:pt idx="6">
                  <c:v>15.921787709497208</c:v>
                </c:pt>
                <c:pt idx="7" formatCode="0.0">
                  <c:v>16.759776536312849</c:v>
                </c:pt>
                <c:pt idx="8">
                  <c:v>17.430167597765365</c:v>
                </c:pt>
                <c:pt idx="9" formatCode="0.0">
                  <c:v>18.435754189944138</c:v>
                </c:pt>
                <c:pt idx="10">
                  <c:v>20.11173184357542</c:v>
                </c:pt>
                <c:pt idx="11" formatCode="0.0">
                  <c:v>22.290502793296092</c:v>
                </c:pt>
                <c:pt idx="12">
                  <c:v>25.139664804469273</c:v>
                </c:pt>
                <c:pt idx="13">
                  <c:v>27.988826815642458</c:v>
                </c:pt>
                <c:pt idx="14">
                  <c:v>29.329608938547484</c:v>
                </c:pt>
                <c:pt idx="15">
                  <c:v>33.519553072625698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5-49B6-8BF0-9694BD3B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1240"/>
        <c:axId val="488981632"/>
      </c:scatterChart>
      <c:scatterChart>
        <c:scatterStyle val="lineMarker"/>
        <c:varyColors val="0"/>
        <c:ser>
          <c:idx val="0"/>
          <c:order val="0"/>
          <c:tx>
            <c:strRef>
              <c:f>ZF!$B$7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ZF!$A$8:$A$23</c:f>
              <c:numCache>
                <c:formatCode>0.00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  <c:pt idx="13">
                  <c:v>1.67</c:v>
                </c:pt>
                <c:pt idx="14">
                  <c:v>1.75</c:v>
                </c:pt>
                <c:pt idx="15">
                  <c:v>2</c:v>
                </c:pt>
              </c:numCache>
            </c:numRef>
          </c:xVal>
          <c:yVal>
            <c:numRef>
              <c:f>ZF!$B$8:$B$23</c:f>
              <c:numCache>
                <c:formatCode>0.000</c:formatCode>
                <c:ptCount val="16"/>
                <c:pt idx="0">
                  <c:v>0.5</c:v>
                </c:pt>
                <c:pt idx="1">
                  <c:v>0.55000000000000004</c:v>
                </c:pt>
                <c:pt idx="2">
                  <c:v>0.68</c:v>
                </c:pt>
                <c:pt idx="3">
                  <c:v>0.87</c:v>
                </c:pt>
                <c:pt idx="4">
                  <c:v>0.93</c:v>
                </c:pt>
                <c:pt idx="5">
                  <c:v>0.97</c:v>
                </c:pt>
                <c:pt idx="6">
                  <c:v>0.97799999999999998</c:v>
                </c:pt>
                <c:pt idx="7">
                  <c:v>0.98</c:v>
                </c:pt>
                <c:pt idx="8">
                  <c:v>0.97</c:v>
                </c:pt>
                <c:pt idx="9">
                  <c:v>0.94499999999999995</c:v>
                </c:pt>
                <c:pt idx="10">
                  <c:v>0.92</c:v>
                </c:pt>
                <c:pt idx="11">
                  <c:v>0.89</c:v>
                </c:pt>
                <c:pt idx="12">
                  <c:v>0.86</c:v>
                </c:pt>
                <c:pt idx="13">
                  <c:v>0.8</c:v>
                </c:pt>
                <c:pt idx="14">
                  <c:v>0.75</c:v>
                </c:pt>
                <c:pt idx="1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5-49B6-8BF0-9694BD3B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2416"/>
        <c:axId val="488982024"/>
      </c:scatterChart>
      <c:valAx>
        <c:axId val="4889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1632"/>
        <c:crosses val="autoZero"/>
        <c:crossBetween val="midCat"/>
      </c:valAx>
      <c:valAx>
        <c:axId val="4889816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1240"/>
        <c:crosses val="autoZero"/>
        <c:crossBetween val="midCat"/>
      </c:valAx>
      <c:valAx>
        <c:axId val="488982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2416"/>
        <c:crosses val="max"/>
        <c:crossBetween val="midCat"/>
      </c:valAx>
      <c:valAx>
        <c:axId val="4889824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8898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ZF!$B$33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ZF!$A$34:$A$66</c:f>
              <c:numCache>
                <c:formatCode>0.00</c:formatCode>
                <c:ptCount val="33"/>
                <c:pt idx="0">
                  <c:v>0</c:v>
                </c:pt>
                <c:pt idx="1">
                  <c:v>3.8599860335195535</c:v>
                </c:pt>
                <c:pt idx="2">
                  <c:v>4.6089385474860336</c:v>
                </c:pt>
                <c:pt idx="3">
                  <c:v>5.1850558659217878</c:v>
                </c:pt>
                <c:pt idx="4">
                  <c:v>5.4731145251396649</c:v>
                </c:pt>
                <c:pt idx="5">
                  <c:v>5.761173184357542</c:v>
                </c:pt>
                <c:pt idx="6">
                  <c:v>5.9916201117318435</c:v>
                </c:pt>
                <c:pt idx="7">
                  <c:v>6.3372905027932971</c:v>
                </c:pt>
                <c:pt idx="8">
                  <c:v>6.9134078212290504</c:v>
                </c:pt>
                <c:pt idx="9">
                  <c:v>7.719972067039107</c:v>
                </c:pt>
                <c:pt idx="10">
                  <c:v>9.2178770949720672</c:v>
                </c:pt>
                <c:pt idx="11">
                  <c:v>10.370111731843576</c:v>
                </c:pt>
                <c:pt idx="12">
                  <c:v>10.94622905027933</c:v>
                </c:pt>
                <c:pt idx="13">
                  <c:v>11.522346368715084</c:v>
                </c:pt>
                <c:pt idx="14">
                  <c:v>11.983240223463687</c:v>
                </c:pt>
                <c:pt idx="15">
                  <c:v>12.674581005586594</c:v>
                </c:pt>
                <c:pt idx="16">
                  <c:v>15.324720670391063</c:v>
                </c:pt>
                <c:pt idx="17">
                  <c:v>15.439944134078214</c:v>
                </c:pt>
                <c:pt idx="18">
                  <c:v>18.435754189944134</c:v>
                </c:pt>
                <c:pt idx="19">
                  <c:v>20.740223463687151</c:v>
                </c:pt>
                <c:pt idx="20">
                  <c:v>21.89245810055866</c:v>
                </c:pt>
                <c:pt idx="21">
                  <c:v>23.044692737430168</c:v>
                </c:pt>
                <c:pt idx="22">
                  <c:v>23.966480446927374</c:v>
                </c:pt>
                <c:pt idx="23">
                  <c:v>25.349162011173188</c:v>
                </c:pt>
                <c:pt idx="24">
                  <c:v>30.649441340782126</c:v>
                </c:pt>
                <c:pt idx="25">
                  <c:v>30.879888268156428</c:v>
                </c:pt>
                <c:pt idx="26">
                  <c:v>36.871508379888269</c:v>
                </c:pt>
                <c:pt idx="27">
                  <c:v>41.480446927374302</c:v>
                </c:pt>
                <c:pt idx="28">
                  <c:v>43.784916201117319</c:v>
                </c:pt>
                <c:pt idx="29">
                  <c:v>46.089385474860336</c:v>
                </c:pt>
                <c:pt idx="30">
                  <c:v>47.932960893854748</c:v>
                </c:pt>
                <c:pt idx="31">
                  <c:v>50.698324022346377</c:v>
                </c:pt>
                <c:pt idx="32">
                  <c:v>61.298882681564251</c:v>
                </c:pt>
              </c:numCache>
            </c:numRef>
          </c:xVal>
          <c:yVal>
            <c:numRef>
              <c:f>ZF!$B$34:$B$66</c:f>
              <c:numCache>
                <c:formatCode>General</c:formatCode>
                <c:ptCount val="33"/>
                <c:pt idx="0">
                  <c:v>0.5</c:v>
                </c:pt>
                <c:pt idx="1">
                  <c:v>0.87</c:v>
                </c:pt>
                <c:pt idx="2">
                  <c:v>0.93</c:v>
                </c:pt>
                <c:pt idx="3">
                  <c:v>0.97</c:v>
                </c:pt>
                <c:pt idx="4">
                  <c:v>0.97799999999999998</c:v>
                </c:pt>
                <c:pt idx="5">
                  <c:v>0.98</c:v>
                </c:pt>
                <c:pt idx="6">
                  <c:v>0.97</c:v>
                </c:pt>
                <c:pt idx="7">
                  <c:v>0.94499999999999995</c:v>
                </c:pt>
                <c:pt idx="8">
                  <c:v>0.92</c:v>
                </c:pt>
                <c:pt idx="9">
                  <c:v>0.89</c:v>
                </c:pt>
                <c:pt idx="10">
                  <c:v>0.93</c:v>
                </c:pt>
                <c:pt idx="11">
                  <c:v>0.97</c:v>
                </c:pt>
                <c:pt idx="12">
                  <c:v>0.97799999999999998</c:v>
                </c:pt>
                <c:pt idx="13">
                  <c:v>0.98</c:v>
                </c:pt>
                <c:pt idx="14">
                  <c:v>0.97</c:v>
                </c:pt>
                <c:pt idx="15">
                  <c:v>0.94499999999999995</c:v>
                </c:pt>
                <c:pt idx="16">
                  <c:v>0.89</c:v>
                </c:pt>
                <c:pt idx="17">
                  <c:v>0.89</c:v>
                </c:pt>
                <c:pt idx="18">
                  <c:v>0.93</c:v>
                </c:pt>
                <c:pt idx="19">
                  <c:v>0.97</c:v>
                </c:pt>
                <c:pt idx="20">
                  <c:v>0.97799999999999998</c:v>
                </c:pt>
                <c:pt idx="21">
                  <c:v>0.98</c:v>
                </c:pt>
                <c:pt idx="22">
                  <c:v>0.97</c:v>
                </c:pt>
                <c:pt idx="23">
                  <c:v>0.94499999999999995</c:v>
                </c:pt>
                <c:pt idx="24">
                  <c:v>0.89</c:v>
                </c:pt>
                <c:pt idx="25" formatCode="0.00">
                  <c:v>0.89</c:v>
                </c:pt>
                <c:pt idx="26">
                  <c:v>0.93</c:v>
                </c:pt>
                <c:pt idx="27">
                  <c:v>0.97</c:v>
                </c:pt>
                <c:pt idx="28">
                  <c:v>0.97799999999999998</c:v>
                </c:pt>
                <c:pt idx="29">
                  <c:v>0.98</c:v>
                </c:pt>
                <c:pt idx="30">
                  <c:v>0.97</c:v>
                </c:pt>
                <c:pt idx="31">
                  <c:v>0.94499999999999995</c:v>
                </c:pt>
                <c:pt idx="32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4-47B5-B439-7DB43776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6144"/>
        <c:axId val="488974968"/>
      </c:scatterChart>
      <c:valAx>
        <c:axId val="4889761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4968"/>
        <c:crosses val="autoZero"/>
        <c:crossBetween val="midCat"/>
      </c:valAx>
      <c:valAx>
        <c:axId val="4889749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Fendt!$B$1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Fendt!$A$2:$A$7</c:f>
              <c:numCache>
                <c:formatCode>General</c:formatCode>
                <c:ptCount val="6"/>
                <c:pt idx="0">
                  <c:v>-1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Fendt!$B$2:$B$7</c:f>
              <c:numCache>
                <c:formatCode>General</c:formatCode>
                <c:ptCount val="6"/>
                <c:pt idx="0">
                  <c:v>0.65</c:v>
                </c:pt>
                <c:pt idx="1">
                  <c:v>0.82</c:v>
                </c:pt>
                <c:pt idx="2">
                  <c:v>0</c:v>
                </c:pt>
                <c:pt idx="3">
                  <c:v>0.82499999999999996</c:v>
                </c:pt>
                <c:pt idx="4">
                  <c:v>0.98</c:v>
                </c:pt>
                <c:pt idx="5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2-4804-9B0B-F9CD1588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1832"/>
        <c:axId val="488973008"/>
      </c:scatterChart>
      <c:valAx>
        <c:axId val="488971832"/>
        <c:scaling>
          <c:orientation val="minMax"/>
          <c:max val="1.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3008"/>
        <c:crosses val="autoZero"/>
        <c:crossBetween val="midCat"/>
      </c:valAx>
      <c:valAx>
        <c:axId val="488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1.4</c:v>
                </c:pt>
              </c:numCache>
            </c:numRef>
          </c:xVal>
          <c:yVal>
            <c:numRef>
              <c:f>Combine!$B$2:$B$11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0.75</c:v>
                </c:pt>
                <c:pt idx="3">
                  <c:v>0.84</c:v>
                </c:pt>
                <c:pt idx="4">
                  <c:v>0.93</c:v>
                </c:pt>
                <c:pt idx="5">
                  <c:v>0.97</c:v>
                </c:pt>
                <c:pt idx="6">
                  <c:v>0.98</c:v>
                </c:pt>
                <c:pt idx="7">
                  <c:v>0.97</c:v>
                </c:pt>
                <c:pt idx="8">
                  <c:v>0.95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B-45DB-B83C-DA6CDFDA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6928"/>
        <c:axId val="488973400"/>
      </c:scatterChart>
      <c:valAx>
        <c:axId val="4889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3400"/>
        <c:crosses val="autoZero"/>
        <c:crossBetween val="midCat"/>
      </c:valAx>
      <c:valAx>
        <c:axId val="4889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Linde!$B$1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Linde!$A$2:$A$17</c:f>
              <c:numCache>
                <c:formatCode>0.000</c:formatCode>
                <c:ptCount val="16"/>
                <c:pt idx="0">
                  <c:v>-1</c:v>
                </c:pt>
                <c:pt idx="1">
                  <c:v>-0.85</c:v>
                </c:pt>
                <c:pt idx="2">
                  <c:v>-0.7</c:v>
                </c:pt>
                <c:pt idx="3">
                  <c:v>-0.5</c:v>
                </c:pt>
                <c:pt idx="4">
                  <c:v>-0.15</c:v>
                </c:pt>
                <c:pt idx="5">
                  <c:v>-0.01</c:v>
                </c:pt>
                <c:pt idx="6">
                  <c:v>0</c:v>
                </c:pt>
                <c:pt idx="7">
                  <c:v>0.01</c:v>
                </c:pt>
                <c:pt idx="8">
                  <c:v>0.15</c:v>
                </c:pt>
                <c:pt idx="9">
                  <c:v>0.3</c:v>
                </c:pt>
                <c:pt idx="10">
                  <c:v>0.5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0.85</c:v>
                </c:pt>
                <c:pt idx="15">
                  <c:v>1</c:v>
                </c:pt>
              </c:numCache>
            </c:numRef>
          </c:xVal>
          <c:yVal>
            <c:numRef>
              <c:f>Linde!$B$2:$B$17</c:f>
              <c:numCache>
                <c:formatCode>0.000</c:formatCode>
                <c:ptCount val="16"/>
                <c:pt idx="0">
                  <c:v>0.87</c:v>
                </c:pt>
                <c:pt idx="1">
                  <c:v>0.92</c:v>
                </c:pt>
                <c:pt idx="2">
                  <c:v>0.93</c:v>
                </c:pt>
                <c:pt idx="3">
                  <c:v>0.87</c:v>
                </c:pt>
                <c:pt idx="4">
                  <c:v>0.71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0.93</c:v>
                </c:pt>
                <c:pt idx="11">
                  <c:v>0.97499999999999998</c:v>
                </c:pt>
                <c:pt idx="12">
                  <c:v>0.98</c:v>
                </c:pt>
                <c:pt idx="13">
                  <c:v>0.97499999999999998</c:v>
                </c:pt>
                <c:pt idx="14">
                  <c:v>0.95</c:v>
                </c:pt>
                <c:pt idx="1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9FA-B073-C275BFF9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8888"/>
        <c:axId val="488977712"/>
      </c:scatterChart>
      <c:valAx>
        <c:axId val="48897888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712"/>
        <c:crosses val="autoZero"/>
        <c:crossBetween val="midCat"/>
      </c:valAx>
      <c:valAx>
        <c:axId val="48897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Compound!$B$1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0.8</c:v>
                </c:pt>
                <c:pt idx="28">
                  <c:v>1</c:v>
                </c:pt>
              </c:numCache>
            </c:numRef>
          </c:xVal>
          <c:yVal>
            <c:numRef>
              <c:f>Compound!$B$2:$B$30</c:f>
              <c:numCache>
                <c:formatCode>General</c:formatCode>
                <c:ptCount val="29"/>
                <c:pt idx="0">
                  <c:v>0.5</c:v>
                </c:pt>
                <c:pt idx="1">
                  <c:v>0.56999999999999995</c:v>
                </c:pt>
                <c:pt idx="2">
                  <c:v>0.75</c:v>
                </c:pt>
                <c:pt idx="3">
                  <c:v>0.81</c:v>
                </c:pt>
                <c:pt idx="4">
                  <c:v>0.96</c:v>
                </c:pt>
                <c:pt idx="5">
                  <c:v>0.97</c:v>
                </c:pt>
                <c:pt idx="6">
                  <c:v>0.97699999999999998</c:v>
                </c:pt>
                <c:pt idx="7">
                  <c:v>0.98</c:v>
                </c:pt>
                <c:pt idx="8">
                  <c:v>0.97499999999999998</c:v>
                </c:pt>
                <c:pt idx="9">
                  <c:v>0.94</c:v>
                </c:pt>
                <c:pt idx="10">
                  <c:v>0.92500000000000004</c:v>
                </c:pt>
                <c:pt idx="11">
                  <c:v>0.92</c:v>
                </c:pt>
                <c:pt idx="12">
                  <c:v>0.91800000000000004</c:v>
                </c:pt>
                <c:pt idx="13">
                  <c:v>0.92</c:v>
                </c:pt>
                <c:pt idx="14">
                  <c:v>0.93500000000000005</c:v>
                </c:pt>
                <c:pt idx="15">
                  <c:v>0.96499999999999997</c:v>
                </c:pt>
                <c:pt idx="16">
                  <c:v>0.96899999999999997</c:v>
                </c:pt>
                <c:pt idx="17">
                  <c:v>0.97</c:v>
                </c:pt>
                <c:pt idx="18">
                  <c:v>0.96799999999999997</c:v>
                </c:pt>
                <c:pt idx="19">
                  <c:v>0.96</c:v>
                </c:pt>
                <c:pt idx="20">
                  <c:v>0.94</c:v>
                </c:pt>
                <c:pt idx="21">
                  <c:v>0.9</c:v>
                </c:pt>
                <c:pt idx="22">
                  <c:v>0.88</c:v>
                </c:pt>
                <c:pt idx="23">
                  <c:v>0.88</c:v>
                </c:pt>
                <c:pt idx="24">
                  <c:v>0.89</c:v>
                </c:pt>
                <c:pt idx="25">
                  <c:v>0.89500000000000002</c:v>
                </c:pt>
                <c:pt idx="26">
                  <c:v>0.9</c:v>
                </c:pt>
                <c:pt idx="27">
                  <c:v>0.90800000000000003</c:v>
                </c:pt>
                <c:pt idx="28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8-48FF-8643-3C133C103EAC}"/>
            </c:ext>
          </c:extLst>
        </c:ser>
        <c:ser>
          <c:idx val="1"/>
          <c:order val="1"/>
          <c:tx>
            <c:strRef>
              <c:f>Compound!$C$1</c:f>
              <c:strCache>
                <c:ptCount val="1"/>
                <c:pt idx="0">
                  <c:v>lua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Compound!$A$2:$A$30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0.8</c:v>
                </c:pt>
                <c:pt idx="28">
                  <c:v>1</c:v>
                </c:pt>
              </c:numCache>
            </c:numRef>
          </c:xVal>
          <c:yVal>
            <c:numRef>
              <c:f>Compound!$C$2:$C$30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8-48FF-8643-3C133C10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1440"/>
        <c:axId val="488977320"/>
      </c:scatterChart>
      <c:valAx>
        <c:axId val="48897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320"/>
        <c:crosses val="autoZero"/>
        <c:crossBetween val="midCat"/>
      </c:valAx>
      <c:valAx>
        <c:axId val="488977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Claas!$E$1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Claas!$D$2:$D$22</c:f>
              <c:numCache>
                <c:formatCode>0.000</c:formatCode>
                <c:ptCount val="21"/>
                <c:pt idx="0">
                  <c:v>0</c:v>
                </c:pt>
                <c:pt idx="1">
                  <c:v>6.251000000000001E-2</c:v>
                </c:pt>
                <c:pt idx="2">
                  <c:v>0.111625</c:v>
                </c:pt>
                <c:pt idx="3">
                  <c:v>0.13394999999999999</c:v>
                </c:pt>
                <c:pt idx="4">
                  <c:v>0.156275</c:v>
                </c:pt>
                <c:pt idx="5">
                  <c:v>0.17860000000000001</c:v>
                </c:pt>
                <c:pt idx="6">
                  <c:v>0.20092500000000002</c:v>
                </c:pt>
                <c:pt idx="7">
                  <c:v>0.22325</c:v>
                </c:pt>
                <c:pt idx="8">
                  <c:v>0.24557500000000002</c:v>
                </c:pt>
                <c:pt idx="9">
                  <c:v>0.26789999999999997</c:v>
                </c:pt>
                <c:pt idx="10">
                  <c:v>0.29022500000000001</c:v>
                </c:pt>
                <c:pt idx="11">
                  <c:v>0.31254999999999999</c:v>
                </c:pt>
                <c:pt idx="12">
                  <c:v>0.33487500000000003</c:v>
                </c:pt>
                <c:pt idx="13">
                  <c:v>0.35720000000000002</c:v>
                </c:pt>
                <c:pt idx="14">
                  <c:v>0.379525</c:v>
                </c:pt>
                <c:pt idx="15">
                  <c:v>0.44650000000000001</c:v>
                </c:pt>
                <c:pt idx="16">
                  <c:v>0.53579999999999994</c:v>
                </c:pt>
                <c:pt idx="17">
                  <c:v>0.62509999999999999</c:v>
                </c:pt>
                <c:pt idx="18">
                  <c:v>0.71440000000000003</c:v>
                </c:pt>
                <c:pt idx="19">
                  <c:v>0.89300000000000002</c:v>
                </c:pt>
                <c:pt idx="20">
                  <c:v>1</c:v>
                </c:pt>
              </c:numCache>
            </c:numRef>
          </c:xVal>
          <c:yVal>
            <c:numRef>
              <c:f>Claas!$E$2:$E$22</c:f>
              <c:numCache>
                <c:formatCode>0.000</c:formatCode>
                <c:ptCount val="21"/>
                <c:pt idx="0">
                  <c:v>0.521505376344086</c:v>
                </c:pt>
                <c:pt idx="1">
                  <c:v>0.83440860215053758</c:v>
                </c:pt>
                <c:pt idx="2">
                  <c:v>0.90741935483870961</c:v>
                </c:pt>
                <c:pt idx="3">
                  <c:v>0.9178494623655914</c:v>
                </c:pt>
                <c:pt idx="4">
                  <c:v>0.90741935483870961</c:v>
                </c:pt>
                <c:pt idx="5">
                  <c:v>0.90741935483870961</c:v>
                </c:pt>
                <c:pt idx="6">
                  <c:v>0.90741935483870961</c:v>
                </c:pt>
                <c:pt idx="7">
                  <c:v>0.90741935483870961</c:v>
                </c:pt>
                <c:pt idx="8">
                  <c:v>0.90220430107526872</c:v>
                </c:pt>
                <c:pt idx="9">
                  <c:v>0.89698924731182783</c:v>
                </c:pt>
                <c:pt idx="10">
                  <c:v>0.88655913978494616</c:v>
                </c:pt>
                <c:pt idx="11">
                  <c:v>0.89698924731182783</c:v>
                </c:pt>
                <c:pt idx="12">
                  <c:v>0.92827956989247307</c:v>
                </c:pt>
                <c:pt idx="13">
                  <c:v>0.93870967741935474</c:v>
                </c:pt>
                <c:pt idx="14">
                  <c:v>0.94913978494623652</c:v>
                </c:pt>
                <c:pt idx="15">
                  <c:v>0.95956989247311819</c:v>
                </c:pt>
                <c:pt idx="16">
                  <c:v>0.97</c:v>
                </c:pt>
                <c:pt idx="17">
                  <c:v>0.97</c:v>
                </c:pt>
                <c:pt idx="18">
                  <c:v>0.96478494623655908</c:v>
                </c:pt>
                <c:pt idx="19">
                  <c:v>0.93870967741935474</c:v>
                </c:pt>
                <c:pt idx="20">
                  <c:v>0.90741935483870961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4-4E6E-9150-CC1440DD95E6}"/>
            </c:ext>
          </c:extLst>
        </c:ser>
        <c:ser>
          <c:idx val="1"/>
          <c:order val="1"/>
          <c:tx>
            <c:strRef>
              <c:f>Claas!$F$1</c:f>
              <c:strCache>
                <c:ptCount val="1"/>
                <c:pt idx="0">
                  <c:v>lua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Claas!$D$2:$D$22</c:f>
              <c:numCache>
                <c:formatCode>0.000</c:formatCode>
                <c:ptCount val="21"/>
                <c:pt idx="0">
                  <c:v>0</c:v>
                </c:pt>
                <c:pt idx="1">
                  <c:v>6.251000000000001E-2</c:v>
                </c:pt>
                <c:pt idx="2">
                  <c:v>0.111625</c:v>
                </c:pt>
                <c:pt idx="3">
                  <c:v>0.13394999999999999</c:v>
                </c:pt>
                <c:pt idx="4">
                  <c:v>0.156275</c:v>
                </c:pt>
                <c:pt idx="5">
                  <c:v>0.17860000000000001</c:v>
                </c:pt>
                <c:pt idx="6">
                  <c:v>0.20092500000000002</c:v>
                </c:pt>
                <c:pt idx="7">
                  <c:v>0.22325</c:v>
                </c:pt>
                <c:pt idx="8">
                  <c:v>0.24557500000000002</c:v>
                </c:pt>
                <c:pt idx="9">
                  <c:v>0.26789999999999997</c:v>
                </c:pt>
                <c:pt idx="10">
                  <c:v>0.29022500000000001</c:v>
                </c:pt>
                <c:pt idx="11">
                  <c:v>0.31254999999999999</c:v>
                </c:pt>
                <c:pt idx="12">
                  <c:v>0.33487500000000003</c:v>
                </c:pt>
                <c:pt idx="13">
                  <c:v>0.35720000000000002</c:v>
                </c:pt>
                <c:pt idx="14">
                  <c:v>0.379525</c:v>
                </c:pt>
                <c:pt idx="15">
                  <c:v>0.44650000000000001</c:v>
                </c:pt>
                <c:pt idx="16">
                  <c:v>0.53579999999999994</c:v>
                </c:pt>
                <c:pt idx="17">
                  <c:v>0.62509999999999999</c:v>
                </c:pt>
                <c:pt idx="18">
                  <c:v>0.71440000000000003</c:v>
                </c:pt>
                <c:pt idx="19">
                  <c:v>0.89300000000000002</c:v>
                </c:pt>
                <c:pt idx="20">
                  <c:v>1</c:v>
                </c:pt>
              </c:numCache>
            </c:numRef>
          </c:xVal>
          <c:yVal>
            <c:numRef>
              <c:f>Claas!$F$2:$F$22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4-4E6E-9150-CC1440DD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1440"/>
        <c:axId val="488977320"/>
      </c:scatterChart>
      <c:valAx>
        <c:axId val="48897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7320"/>
        <c:crosses val="autoZero"/>
        <c:crossBetween val="midCat"/>
      </c:valAx>
      <c:valAx>
        <c:axId val="488977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29</xdr:row>
      <xdr:rowOff>152400</xdr:rowOff>
    </xdr:from>
    <xdr:to>
      <xdr:col>18</xdr:col>
      <xdr:colOff>152400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152399</xdr:rowOff>
    </xdr:from>
    <xdr:to>
      <xdr:col>7</xdr:col>
      <xdr:colOff>633412</xdr:colOff>
      <xdr:row>64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133349</xdr:rowOff>
    </xdr:from>
    <xdr:to>
      <xdr:col>19</xdr:col>
      <xdr:colOff>266700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133349</xdr:rowOff>
    </xdr:from>
    <xdr:to>
      <xdr:col>19</xdr:col>
      <xdr:colOff>419100</xdr:colOff>
      <xdr:row>41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133349</xdr:rowOff>
    </xdr:from>
    <xdr:to>
      <xdr:col>19</xdr:col>
      <xdr:colOff>523875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171449</xdr:rowOff>
    </xdr:from>
    <xdr:to>
      <xdr:col>22</xdr:col>
      <xdr:colOff>514350</xdr:colOff>
      <xdr:row>42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171449</xdr:rowOff>
    </xdr:from>
    <xdr:to>
      <xdr:col>25</xdr:col>
      <xdr:colOff>514350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1A430-7BCB-4B69-8C8C-745E7C53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K23" totalsRowShown="0">
  <tableColumns count="11">
    <tableColumn id="1" name="ratio" dataDxfId="57"/>
    <tableColumn id="2" name="factor" dataDxfId="56"/>
    <tableColumn id="3" name="speed1" dataDxfId="55">
      <calculatedColumnFormula>Table1[[#This Row],[ratio]]*Table2[s1]</calculatedColumnFormula>
    </tableColumn>
    <tableColumn id="11" name="speed2" dataDxfId="54">
      <calculatedColumnFormula>Table1[[#This Row],[ratio]]*Table2[s2]</calculatedColumnFormula>
    </tableColumn>
    <tableColumn id="10" name="speed3" dataDxfId="53">
      <calculatedColumnFormula>Table1[[#This Row],[ratio]]*Table2[s3]</calculatedColumnFormula>
    </tableColumn>
    <tableColumn id="4" name="speed4" dataDxfId="52">
      <calculatedColumnFormula>Table1[[#This Row],[ratio]]*Table2[s4]</calculatedColumnFormula>
    </tableColumn>
    <tableColumn id="7" name="idleSpeed1" dataDxfId="51">
      <calculatedColumnFormula>Table1[[#This Row],[speed1]]*Table4[idle]/Table4[rated]</calculatedColumnFormula>
    </tableColumn>
    <tableColumn id="6" name="idleSpeed4" dataDxfId="50">
      <calculatedColumnFormula>Table1[[#This Row],[speed4]]*Table4[idle]/Table4[rated]</calculatedColumnFormula>
    </tableColumn>
    <tableColumn id="9" name="ratio1" dataDxfId="49">
      <calculatedColumnFormula>Table4[rated]/(Table1[[#This Row],[speed1]]/3.6 * 60 / (1*2*PI()))</calculatedColumnFormula>
    </tableColumn>
    <tableColumn id="8" name="ratio2" dataDxfId="48">
      <calculatedColumnFormula>Table4[rated]/(Table1[[#This Row],[speed4]]/3.6 * 60 / (1*2*PI()))</calculatedColumnFormula>
    </tableColumn>
    <tableColumn id="5" name="xml" dataDxfId="47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681011" displayName="Table1681011" ref="D1:F22" totalsRowShown="0">
  <autoFilter ref="D1:F22"/>
  <tableColumns count="3">
    <tableColumn id="1" name="r" dataDxfId="1">
      <calculatedColumnFormula>C2*0.893</calculatedColumnFormula>
    </tableColumn>
    <tableColumn id="2" name="e" dataDxfId="2">
      <calculatedColumnFormula>B2*0.97/0.93</calculatedColumnFormula>
    </tableColumn>
    <tableColumn id="3" name="lua" dataDxfId="0">
      <calculatedColumnFormula>CONCATENATE("   table.insert(self.mrGbMS.HydrostaticEfficiency, {time=",ROUND(Table1681011[[#This Row],[r]],3)," , v=",ROUND(MAX(Table1681011[[#This Row],[e]],0.000001),3),"})")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N6" totalsRowCount="1" dataDxfId="46">
  <tableColumns count="14">
    <tableColumn id="1" name="s1" dataDxfId="45" totalsRowDxfId="44">
      <calculatedColumnFormula>IF(Table4[gears]&gt;3,Table2[s2]/Table4[gear2gear],Table2[s2])</calculatedColumnFormula>
    </tableColumn>
    <tableColumn id="11" name="s2" dataDxfId="43" totalsRowDxfId="42">
      <calculatedColumnFormula>IF(Table4[gears]&gt;2,Table2[s3]/Table4[gear2gear],Table2[s3])</calculatedColumnFormula>
    </tableColumn>
    <tableColumn id="14" name="s3" dataDxfId="41" totalsRowDxfId="40">
      <calculatedColumnFormula>IF(Table4[gears]&gt;1,Table2[s4]/Table4[gear2gear],Table2[s4])</calculatedColumnFormula>
    </tableColumn>
    <tableColumn id="2" name="s4" dataDxfId="39" totalsRowDxfId="38">
      <calculatedColumnFormula>Table4[maxSpeed]*Table4[rated]/Table4[rpm]/(1+Table2[range])</calculatedColumnFormula>
    </tableColumn>
    <tableColumn id="6" name="minRatio" dataDxfId="37" totalsRowDxfId="36">
      <calculatedColumnFormula>Table4[minSpeed]/Table2[s1]/Table4[idle]*Table4[rated]</calculatedColumnFormula>
    </tableColumn>
    <tableColumn id="8" name="minEff" dataDxfId="35" totalsRowDxfId="34"/>
    <tableColumn id="9" name="maxEff" dataDxfId="33" totalsRowDxfId="32"/>
    <tableColumn id="3" name="range" dataDxfId="31" totalsRowDxfId="30">
      <calculatedColumnFormula>(Table4[gear2gear]-1)/(Table4[gear2gear]+1)</calculatedColumnFormula>
    </tableColumn>
    <tableColumn id="10" name="zeroEff" dataDxfId="29" totalsRowDxfId="28">
      <calculatedColumnFormula>IF(ISBLANK(Table4[zeroEff]),Table2[maxEff]-(Table2[maxEff]-Table2[minEff])/Table2[range],Table4[zeroEff])</calculatedColumnFormula>
    </tableColumn>
    <tableColumn id="12" name="constF1" dataDxfId="27" totalsRowDxfId="26"/>
    <tableColumn id="13" name="constF2" dataDxfId="25" totalsRowDxfId="24"/>
    <tableColumn id="15" name="rpm40" totalsRowFunction="custom" dataDxfId="23" totalsRowDxfId="22">
      <calculatedColumnFormula>40/(Table2[s4]*(1+Table2[range]))*Table4[rated]</calculatedColumnFormula>
      <totalsRowFormula>CONCATENATE("      &lt;!-- ",Table4[minSpeed],"..",Table4[maxSpeed]," @",Table4[rpm]," / ",Table4[idle],"..",Table4[rated]," / ",Table4[gear2gear]," --&gt;")</totalsRowFormula>
    </tableColumn>
    <tableColumn id="16" name="rpm50" dataDxfId="21" totalsRowDxfId="20">
      <calculatedColumnFormula>50/(Table2[s4]*(1+Table2[range]))*Table4[rated]</calculatedColumnFormula>
    </tableColumn>
    <tableColumn id="17" name="rpm60" dataDxfId="19" totalsRowDxfId="18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25:K29" totalsRowShown="0">
  <tableColumns count="7">
    <tableColumn id="1" name="gear" dataDxfId="17"/>
    <tableColumn id="2" name="speed" dataDxfId="16">
      <calculatedColumnFormula>INDEX(Table2[],1,Table3[[#This Row],[gear]])</calculatedColumnFormula>
    </tableColumn>
    <tableColumn id="9" name="minSpeed" dataDxfId="15">
      <calculatedColumnFormula>$A$8*Table3[[#This Row],[speed]]*Table4[idle]/Table4[rated]</calculatedColumnFormula>
    </tableColumn>
    <tableColumn id="6" name="idleSpeed" dataDxfId="14">
      <calculatedColumnFormula>$A$11*Table3[[#This Row],[speed]]*Table4[idle]/Table4[rated]</calculatedColumnFormula>
    </tableColumn>
    <tableColumn id="5" name="fromSpeed" dataDxfId="13">
      <calculatedColumnFormula>$A$11*Table3[[#This Row],[speed]]</calculatedColumnFormula>
    </tableColumn>
    <tableColumn id="4" name="toSpeed" dataDxfId="12">
      <calculatedColumnFormula>$A$19*Table3[[#This Row],[speed]]</calculatedColumnFormula>
    </tableColumn>
    <tableColumn id="3" name="xml" dataDxfId="11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" totalsRowShown="0">
  <tableColumns count="8">
    <tableColumn id="8" name="minSpeed"/>
    <tableColumn id="1" name="maxSpeed"/>
    <tableColumn id="2" name="rpm"/>
    <tableColumn id="3" name="idle"/>
    <tableColumn id="4" name="rated"/>
    <tableColumn id="6" name="gear2gear"/>
    <tableColumn id="7" name="gears"/>
    <tableColumn id="5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33:B66" totalsRowShown="0">
  <autoFilter ref="A33:B66"/>
  <tableColumns count="2">
    <tableColumn id="1" name="km/h" dataDxfId="10"/>
    <tableColumn id="2" name="Efficiency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C7" totalsRowShown="0">
  <autoFilter ref="A1:C7"/>
  <tableColumns count="3">
    <tableColumn id="1" name="r"/>
    <tableColumn id="2" name="e"/>
    <tableColumn id="3" name="lua" dataDxfId="9">
      <calculatedColumnFormula>CONCATENATE("   table.insert(self.mrGbMS.HydrostaticEfficiency, {time=",Table16[[#This Row],[r]]," , v=",MAX(Table16[[#This Row],[e]],0.000001),"})")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168" displayName="Table168" ref="A1:C11" totalsRowShown="0">
  <autoFilter ref="A1:C11"/>
  <tableColumns count="3">
    <tableColumn id="1" name="r"/>
    <tableColumn id="2" name="e"/>
    <tableColumn id="3" name="lua" dataDxfId="8">
      <calculatedColumnFormula>CONCATENATE("   table.insert(self.mrGbMS.HydrostaticEfficiency, {time=",Table168[[#This Row],[r]]," , v=",MAX(Table168[[#This Row],[e]],0.000001),"})")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1689" displayName="Table1689" ref="A1:C17" totalsRowShown="0" dataDxfId="7">
  <autoFilter ref="A1:C17"/>
  <sortState ref="A2:B12">
    <sortCondition ref="A1"/>
  </sortState>
  <tableColumns count="3">
    <tableColumn id="1" name="r" dataDxfId="6"/>
    <tableColumn id="2" name="e" dataDxfId="5"/>
    <tableColumn id="3" name="lua" dataDxfId="4">
      <calculatedColumnFormula>CONCATENATE("   table.insert(self.mrGbMS.HydrostaticEfficiency, {time=",Table1689[[#This Row],[r]]," , v=",MAX(Table1689[[#This Row],[e]],0.000001),"})")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16810" displayName="Table16810" ref="A1:C30" totalsRowShown="0">
  <autoFilter ref="A1:C30"/>
  <tableColumns count="3">
    <tableColumn id="1" name="r"/>
    <tableColumn id="2" name="e"/>
    <tableColumn id="3" name="lua" dataDxfId="3">
      <calculatedColumnFormula>CONCATENATE("   table.insert(self.mrGbMS.HydrostaticEfficiency, {time=",Table16810[[#This Row],[r]]," , v=",MAX(Table16810[[#This Row],[e]],0.000001),"})")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B15" sqref="B15:B23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36</v>
      </c>
      <c r="C1" t="s">
        <v>37</v>
      </c>
      <c r="D1" t="s">
        <v>5</v>
      </c>
      <c r="E1" t="s">
        <v>6</v>
      </c>
      <c r="F1" t="s">
        <v>38</v>
      </c>
      <c r="G1" t="s">
        <v>39</v>
      </c>
      <c r="H1" t="s">
        <v>15</v>
      </c>
    </row>
    <row r="2" spans="1:14" x14ac:dyDescent="0.25">
      <c r="A2">
        <v>0.02</v>
      </c>
      <c r="B2">
        <v>50</v>
      </c>
      <c r="C2">
        <v>1790</v>
      </c>
      <c r="D2">
        <v>800</v>
      </c>
      <c r="E2">
        <v>2200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5.761173184357542</v>
      </c>
      <c r="B5" s="7">
        <f>IF(Table4[gears]&gt;2,Table2[s3]/Table4[gear2gear],Table2[s3])</f>
        <v>11.522346368715084</v>
      </c>
      <c r="C5" s="7">
        <f>IF(Table4[gears]&gt;1,Table2[s4]/Table4[gear2gear],Table2[s4])</f>
        <v>23.044692737430168</v>
      </c>
      <c r="D5" s="7">
        <f>Table4[maxSpeed]*Table4[rated]/Table4[rpm]/(1+Table2[range])</f>
        <v>46.089385474860336</v>
      </c>
      <c r="E5" s="8">
        <f>Table4[minSpeed]/Table2[s1]/Table4[idle]*Table4[rated]</f>
        <v>9.5466666666666668E-3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1432</v>
      </c>
      <c r="M5" s="10">
        <f>50/(Table2[s4]*(1+Table2[range]))*Table4[rated]</f>
        <v>1790</v>
      </c>
      <c r="N5" s="10">
        <f>60/(Table2[s4]*(1+Table2[range]))*Table4[rated]</f>
        <v>2148</v>
      </c>
    </row>
    <row r="6" spans="1:14" x14ac:dyDescent="0.25">
      <c r="A6" s="12"/>
      <c r="B6" s="12"/>
      <c r="C6" s="12"/>
      <c r="D6" s="12"/>
      <c r="E6" s="13"/>
      <c r="F6" s="14"/>
      <c r="G6" s="14"/>
      <c r="H6" s="14"/>
      <c r="I6" s="14"/>
      <c r="J6" s="14"/>
      <c r="K6" s="14"/>
      <c r="L6" s="15" t="str">
        <f>CONCATENATE("      &lt;!-- ",Table4[minSpeed],"..",Table4[maxSpeed]," @",Table4[rpm]," / ",Table4[idle],"..",Table4[rated]," / ",Table4[gear2gear]," --&gt;")</f>
        <v xml:space="preserve">      &lt;!-- 0.02..50 @1790 / 800..2200 / 2 --&gt;</v>
      </c>
      <c r="M6" s="15"/>
      <c r="N6" s="15"/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34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6">
        <v>0</v>
      </c>
      <c r="B8" s="16">
        <v>0.5</v>
      </c>
      <c r="C8" s="6">
        <f>Table1[[#This Row],[ratio]]*Table2[s1]</f>
        <v>0</v>
      </c>
      <c r="D8" s="6">
        <f>Table1[[#This Row],[ratio]]*Table2[s2]</f>
        <v>0</v>
      </c>
      <c r="E8" s="6">
        <f>Table1[[#This Row],[ratio]]*Table2[s3]</f>
        <v>0</v>
      </c>
      <c r="F8" s="6">
        <f>Table1[[#This Row],[ratio]]*Table2[s4]</f>
        <v>0</v>
      </c>
      <c r="G8" s="2">
        <f>Table1[[#This Row],[speed1]]*Table4[idle]/Table4[rated]</f>
        <v>0</v>
      </c>
      <c r="H8" s="3">
        <f>Table1[[#This Row],[speed4]]*Table4[idle]/Table4[rated]</f>
        <v>0</v>
      </c>
      <c r="I8" s="5" t="e">
        <f>Table4[rated]/(Table1[[#This Row],[speed1]]/3.6 * 60 / (1*2*PI()))</f>
        <v>#DIV/0!</v>
      </c>
      <c r="J8" s="5" t="e">
        <f>Table4[rated]/(Table1[[#This Row],[speed4]]/3.6 * 60 / (1*2*PI()))</f>
        <v>#DIV/0!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ratio="0" factor="0.5"/&gt; &lt;!-- 0 .. 0 --&gt;</v>
      </c>
      <c r="L8" t="str">
        <f>Table1[[#This Row],[xml]]</f>
        <v xml:space="preserve">        &lt;efficiency ratio="0" factor="0.5"/&gt; &lt;!-- 0 .. 0 --&gt;</v>
      </c>
    </row>
    <row r="9" spans="1:14" x14ac:dyDescent="0.25">
      <c r="A9" s="6">
        <v>0.05</v>
      </c>
      <c r="B9" s="16">
        <v>0.55000000000000004</v>
      </c>
      <c r="C9" s="6">
        <f>Table1[[#This Row],[ratio]]*Table2[s1]</f>
        <v>0.2880586592178771</v>
      </c>
      <c r="D9" s="6">
        <f>Table1[[#This Row],[ratio]]*Table2[s2]</f>
        <v>0.5761173184357542</v>
      </c>
      <c r="E9" s="6">
        <f>Table1[[#This Row],[ratio]]*Table2[s3]</f>
        <v>1.1522346368715084</v>
      </c>
      <c r="F9" s="6">
        <f>Table1[[#This Row],[ratio]]*Table2[s4]</f>
        <v>2.3044692737430168</v>
      </c>
      <c r="G9" s="2">
        <f>Table1[[#This Row],[speed1]]*Table4[idle]/Table4[rated]</f>
        <v>0.10474860335195531</v>
      </c>
      <c r="H9" s="3">
        <f>Table1[[#This Row],[speed4]]*Table4[idle]/Table4[rated]</f>
        <v>0.83798882681564246</v>
      </c>
      <c r="I9" s="5">
        <f>Table4[rated]/(Table1[[#This Row],[speed1]]/3.6 * 60 / (1*2*PI()))</f>
        <v>2879.2068351619737</v>
      </c>
      <c r="J9" s="5">
        <f>Table4[rated]/(Table1[[#This Row],[speed4]]/3.6 * 60 / (1*2*PI()))</f>
        <v>359.90085439524671</v>
      </c>
      <c r="K9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ratio="0.05" factor="0.55"/&gt; &lt;!-- 0.1 .. 2.3 --&gt;</v>
      </c>
      <c r="L9" t="str">
        <f>Table1[[#This Row],[xml]]</f>
        <v xml:space="preserve">        &lt;efficiency ratio="0.05" factor="0.55"/&gt; &lt;!-- 0.1 .. 2.3 --&gt;</v>
      </c>
    </row>
    <row r="10" spans="1:14" x14ac:dyDescent="0.25">
      <c r="A10" s="6">
        <v>0.22</v>
      </c>
      <c r="B10" s="16">
        <v>0.68</v>
      </c>
      <c r="C10" s="6">
        <f>Table1[[#This Row],[ratio]]*Table2[s1]</f>
        <v>1.2674581005586592</v>
      </c>
      <c r="D10" s="6">
        <f>Table1[[#This Row],[ratio]]*Table2[s2]</f>
        <v>2.5349162011173183</v>
      </c>
      <c r="E10" s="6">
        <f>Table1[[#This Row],[ratio]]*Table2[s3]</f>
        <v>5.0698324022346366</v>
      </c>
      <c r="F10" s="6">
        <f>Table1[[#This Row],[ratio]]*Table2[s4]</f>
        <v>10.139664804469273</v>
      </c>
      <c r="G10" s="2">
        <f>Table1[[#This Row],[speed1]]*Table4[idle]/Table4[rated]</f>
        <v>0.46089385474860334</v>
      </c>
      <c r="H10" s="3">
        <f>Table1[[#This Row],[speed4]]*Table4[idle]/Table4[rated]</f>
        <v>3.6871508379888267</v>
      </c>
      <c r="I10" s="5">
        <f>Table4[rated]/(Table1[[#This Row],[speed1]]/3.6 * 60 / (1*2*PI()))</f>
        <v>654.3651898095394</v>
      </c>
      <c r="J10" s="5">
        <f>Table4[rated]/(Table1[[#This Row],[speed4]]/3.6 * 60 / (1*2*PI()))</f>
        <v>81.795648726192425</v>
      </c>
      <c r="K10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ratio="0.22" factor="0.68"/&gt; &lt;!-- 0.46 .. 10.1 --&gt;</v>
      </c>
      <c r="L10" t="str">
        <f>Table1[[#This Row],[xml]]</f>
        <v xml:space="preserve">        &lt;efficiency ratio="0.22" factor="0.68"/&gt; &lt;!-- 0.46 .. 10.1 --&gt;</v>
      </c>
    </row>
    <row r="11" spans="1:14" x14ac:dyDescent="0.25">
      <c r="A11" s="6">
        <v>0.67</v>
      </c>
      <c r="B11" s="16">
        <v>0.87</v>
      </c>
      <c r="C11" s="6">
        <f>Table1[[#This Row],[ratio]]*Table2[s1]</f>
        <v>3.8599860335195535</v>
      </c>
      <c r="D11" s="6">
        <f>Table1[[#This Row],[ratio]]*Table2[s2]</f>
        <v>7.719972067039107</v>
      </c>
      <c r="E11" s="6">
        <f>Table1[[#This Row],[ratio]]*Table2[s3]</f>
        <v>15.439944134078214</v>
      </c>
      <c r="F11" s="6">
        <f>Table1[[#This Row],[ratio]]*Table2[s4]</f>
        <v>30.879888268156428</v>
      </c>
      <c r="G11" s="1">
        <f>Table1[[#This Row],[speed1]]*Table4[idle]/Table4[rated]</f>
        <v>1.4036312849162014</v>
      </c>
      <c r="H11" s="1">
        <f>Table1[[#This Row],[speed4]]*Table4[idle]/Table4[rated]</f>
        <v>11.229050279329611</v>
      </c>
      <c r="I11" s="5">
        <f>Table4[rated]/(Table1[[#This Row],[speed1]]/3.6 * 60 / (1*2*PI()))</f>
        <v>214.86618172850547</v>
      </c>
      <c r="J11" s="5">
        <f>Table4[rated]/(Table1[[#This Row],[speed4]]/3.6 * 60 / (1*2*PI()))</f>
        <v>26.858272716063183</v>
      </c>
      <c r="K11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ratio="0.67" factor="0.87"/&gt; &lt;!-- 1.4 .. 30.9 --&gt;</v>
      </c>
      <c r="L11" t="str">
        <f>Table1[[#This Row],[xml]]</f>
        <v xml:space="preserve">        &lt;efficiency ratio="0.67" factor="0.87"/&gt; &lt;!-- 1.4 .. 30.9 --&gt;</v>
      </c>
    </row>
    <row r="12" spans="1:14" x14ac:dyDescent="0.25">
      <c r="A12" s="6">
        <v>0.8</v>
      </c>
      <c r="B12" s="16">
        <v>0.93</v>
      </c>
      <c r="C12" s="6">
        <f>Table1[[#This Row],[ratio]]*Table2[s1]</f>
        <v>4.6089385474860336</v>
      </c>
      <c r="D12" s="6">
        <f>Table1[[#This Row],[ratio]]*Table2[s2]</f>
        <v>9.2178770949720672</v>
      </c>
      <c r="E12" s="6">
        <f>Table1[[#This Row],[ratio]]*Table2[s3]</f>
        <v>18.435754189944134</v>
      </c>
      <c r="F12" s="6">
        <f>Table1[[#This Row],[ratio]]*Table2[s4]</f>
        <v>36.871508379888269</v>
      </c>
      <c r="G12" s="2">
        <f>Table1[[#This Row],[speed1]]*Table4[idle]/Table4[rated]</f>
        <v>1.6759776536312849</v>
      </c>
      <c r="H12" s="3">
        <f>Table1[[#This Row],[speed4]]*Table4[idle]/Table4[rated]</f>
        <v>13.407821229050279</v>
      </c>
      <c r="I12" s="5">
        <f>Table4[rated]/(Table1[[#This Row],[speed1]]/3.6 * 60 / (1*2*PI()))</f>
        <v>179.95042719762336</v>
      </c>
      <c r="J12" s="5">
        <f>Table4[rated]/(Table1[[#This Row],[speed4]]/3.6 * 60 / (1*2*PI()))</f>
        <v>22.493803399702919</v>
      </c>
      <c r="K12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ratio="0.8" factor="0.93"/&gt; &lt;!-- 1.68 .. 36.9 --&gt;</v>
      </c>
      <c r="L12" t="str">
        <f>Table1[[#This Row],[xml]]</f>
        <v xml:space="preserve">        &lt;efficiency ratio="0.8" factor="0.93"/&gt; &lt;!-- 1.68 .. 36.9 --&gt;</v>
      </c>
    </row>
    <row r="13" spans="1:14" x14ac:dyDescent="0.25">
      <c r="A13" s="6">
        <v>0.9</v>
      </c>
      <c r="B13" s="16">
        <v>0.97</v>
      </c>
      <c r="C13" s="6">
        <f>Table1[[#This Row],[ratio]]*Table2[s1]</f>
        <v>5.1850558659217878</v>
      </c>
      <c r="D13" s="6">
        <f>Table1[[#This Row],[ratio]]*Table2[s2]</f>
        <v>10.370111731843576</v>
      </c>
      <c r="E13" s="6">
        <f>Table1[[#This Row],[ratio]]*Table2[s3]</f>
        <v>20.740223463687151</v>
      </c>
      <c r="F13" s="6">
        <f>Table1[[#This Row],[ratio]]*Table2[s4]</f>
        <v>41.480446927374302</v>
      </c>
      <c r="G13" s="1">
        <f>Table1[[#This Row],[speed1]]*Table4[idle]/Table4[rated]</f>
        <v>1.8854748603351956</v>
      </c>
      <c r="H13" s="1">
        <f>Table1[[#This Row],[speed4]]*Table4[idle]/Table4[rated]</f>
        <v>15.083798882681565</v>
      </c>
      <c r="I13" s="5">
        <f>Table4[rated]/(Table1[[#This Row],[speed1]]/3.6 * 60 / (1*2*PI()))</f>
        <v>159.95593528677631</v>
      </c>
      <c r="J13" s="5">
        <f>Table4[rated]/(Table1[[#This Row],[speed4]]/3.6 * 60 / (1*2*PI()))</f>
        <v>19.994491910847039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ratio="0.9" factor="0.97"/&gt; &lt;!-- 1.89 .. 41.5 --&gt;</v>
      </c>
      <c r="L13" t="str">
        <f>Table1[[#This Row],[xml]]</f>
        <v xml:space="preserve">        &lt;efficiency ratio="0.9" factor="0.97"/&gt; &lt;!-- 1.89 .. 41.5 --&gt;</v>
      </c>
    </row>
    <row r="14" spans="1:14" x14ac:dyDescent="0.25">
      <c r="A14" s="6">
        <v>0.95</v>
      </c>
      <c r="B14" s="16">
        <v>0.97799999999999998</v>
      </c>
      <c r="C14" s="6">
        <f>Table1[[#This Row],[ratio]]*Table2[s1]</f>
        <v>5.4731145251396649</v>
      </c>
      <c r="D14" s="6">
        <f>Table1[[#This Row],[ratio]]*Table2[s2]</f>
        <v>10.94622905027933</v>
      </c>
      <c r="E14" s="6">
        <f>Table1[[#This Row],[ratio]]*Table2[s3]</f>
        <v>21.89245810055866</v>
      </c>
      <c r="F14" s="6">
        <f>Table1[[#This Row],[ratio]]*Table2[s4]</f>
        <v>43.784916201117319</v>
      </c>
      <c r="G14" s="2">
        <f>Table1[[#This Row],[speed1]]*Table4[idle]/Table4[rated]</f>
        <v>1.990223463687151</v>
      </c>
      <c r="H14" s="3">
        <f>Table1[[#This Row],[speed4]]*Table4[idle]/Table4[rated]</f>
        <v>15.921787709497208</v>
      </c>
      <c r="I14" s="5">
        <f>Table4[rated]/(Table1[[#This Row],[speed1]]/3.6 * 60 / (1*2*PI()))</f>
        <v>151.53720185063017</v>
      </c>
      <c r="J14" s="5">
        <f>Table4[rated]/(Table1[[#This Row],[speed4]]/3.6 * 60 / (1*2*PI()))</f>
        <v>18.942150231328771</v>
      </c>
      <c r="K14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ratio="0.95" factor="0.978"/&gt; &lt;!-- 1.99 .. 43.8 --&gt;</v>
      </c>
      <c r="L14" t="str">
        <f>Table1[[#This Row],[xml]]</f>
        <v xml:space="preserve">        &lt;efficiency ratio="0.95" factor="0.978"/&gt; &lt;!-- 1.99 .. 43.8 --&gt;</v>
      </c>
    </row>
    <row r="15" spans="1:14" x14ac:dyDescent="0.25">
      <c r="A15" s="6">
        <v>1</v>
      </c>
      <c r="B15" s="16">
        <f>Table2[maxEff]</f>
        <v>0.98</v>
      </c>
      <c r="C15" s="6">
        <f>Table1[[#This Row],[ratio]]*Table2[s1]</f>
        <v>5.761173184357542</v>
      </c>
      <c r="D15" s="6">
        <f>Table1[[#This Row],[ratio]]*Table2[s2]</f>
        <v>11.522346368715084</v>
      </c>
      <c r="E15" s="6">
        <f>Table1[[#This Row],[ratio]]*Table2[s3]</f>
        <v>23.044692737430168</v>
      </c>
      <c r="F15" s="6">
        <f>Table1[[#This Row],[ratio]]*Table2[s4]</f>
        <v>46.089385474860336</v>
      </c>
      <c r="G15" s="1">
        <f>Table1[[#This Row],[speed1]]*Table4[idle]/Table4[rated]</f>
        <v>2.0949720670391061</v>
      </c>
      <c r="H15" s="1">
        <f>Table1[[#This Row],[speed4]]*Table4[idle]/Table4[rated]</f>
        <v>16.759776536312849</v>
      </c>
      <c r="I15" s="5">
        <f>Table4[rated]/(Table1[[#This Row],[speed1]]/3.6 * 60 / (1*2*PI()))</f>
        <v>143.96034175809868</v>
      </c>
      <c r="J15" s="5">
        <f>Table4[rated]/(Table1[[#This Row],[speed4]]/3.6 * 60 / (1*2*PI()))</f>
        <v>17.995042719762335</v>
      </c>
      <c r="K15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&lt;!-- 2.09 .. 46.1 --&gt;</v>
      </c>
      <c r="L15" t="str">
        <f>Table1[[#This Row],[xml]]</f>
        <v xml:space="preserve">        &lt;efficiency ratio="1" factor="0.98"/&gt; &lt;!-- 2.09 .. 46.1 --&gt;</v>
      </c>
    </row>
    <row r="16" spans="1:14" x14ac:dyDescent="0.25">
      <c r="A16" s="6">
        <v>1.04</v>
      </c>
      <c r="B16" s="16">
        <v>0.97</v>
      </c>
      <c r="C16" s="6">
        <f>Table1[[#This Row],[ratio]]*Table2[s1]</f>
        <v>5.9916201117318435</v>
      </c>
      <c r="D16" s="6">
        <f>Table1[[#This Row],[ratio]]*Table2[s2]</f>
        <v>11.983240223463687</v>
      </c>
      <c r="E16" s="6">
        <f>Table1[[#This Row],[ratio]]*Table2[s3]</f>
        <v>23.966480446927374</v>
      </c>
      <c r="F16" s="6">
        <f>Table1[[#This Row],[ratio]]*Table2[s4]</f>
        <v>47.932960893854748</v>
      </c>
      <c r="G16" s="2">
        <f>Table1[[#This Row],[speed1]]*Table4[idle]/Table4[rated]</f>
        <v>2.1787709497206706</v>
      </c>
      <c r="H16" s="3">
        <f>Table1[[#This Row],[speed4]]*Table4[idle]/Table4[rated]</f>
        <v>17.430167597765365</v>
      </c>
      <c r="I16" s="5">
        <f>Table4[rated]/(Table1[[#This Row],[speed1]]/3.6 * 60 / (1*2*PI()))</f>
        <v>138.42340553663334</v>
      </c>
      <c r="J16" s="5">
        <f>Table4[rated]/(Table1[[#This Row],[speed4]]/3.6 * 60 / (1*2*PI()))</f>
        <v>17.302925692079167</v>
      </c>
      <c r="K16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ratio="1.04" factor="0.97"/&gt; &lt;!-- 2.18 .. 47.9 --&gt;</v>
      </c>
      <c r="L16" t="str">
        <f>Table1[[#This Row],[xml]]</f>
        <v xml:space="preserve">        &lt;efficiency ratio="1.04" factor="0.97"/&gt; &lt;!-- 2.18 .. 47.9 --&gt;</v>
      </c>
    </row>
    <row r="17" spans="1:12" x14ac:dyDescent="0.25">
      <c r="A17" s="6">
        <v>1.1000000000000001</v>
      </c>
      <c r="B17" s="16">
        <v>0.94499999999999995</v>
      </c>
      <c r="C17" s="6">
        <f>Table1[[#This Row],[ratio]]*Table2[s1]</f>
        <v>6.3372905027932971</v>
      </c>
      <c r="D17" s="6">
        <f>Table1[[#This Row],[ratio]]*Table2[s2]</f>
        <v>12.674581005586594</v>
      </c>
      <c r="E17" s="6">
        <f>Table1[[#This Row],[ratio]]*Table2[s3]</f>
        <v>25.349162011173188</v>
      </c>
      <c r="F17" s="6">
        <f>Table1[[#This Row],[ratio]]*Table2[s4]</f>
        <v>50.698324022346377</v>
      </c>
      <c r="G17" s="1">
        <f>Table1[[#This Row],[speed1]]*Table4[idle]/Table4[rated]</f>
        <v>2.3044692737430172</v>
      </c>
      <c r="H17" s="1">
        <f>Table1[[#This Row],[speed4]]*Table4[idle]/Table4[rated]</f>
        <v>18.435754189944138</v>
      </c>
      <c r="I17" s="5">
        <f>Table4[rated]/(Table1[[#This Row],[speed1]]/3.6 * 60 / (1*2*PI()))</f>
        <v>130.87303796190787</v>
      </c>
      <c r="J17" s="5">
        <f>Table4[rated]/(Table1[[#This Row],[speed4]]/3.6 * 60 / (1*2*PI()))</f>
        <v>16.359129745238484</v>
      </c>
      <c r="K17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ratio="1.1" factor="0.945"/&gt; &lt;!-- 2.3 .. 50.7 --&gt;</v>
      </c>
      <c r="L17" t="str">
        <f>Table1[[#This Row],[xml]]</f>
        <v xml:space="preserve">        &lt;efficiency ratio="1.1" factor="0.945"/&gt; &lt;!-- 2.3 .. 50.7 --&gt;</v>
      </c>
    </row>
    <row r="18" spans="1:12" x14ac:dyDescent="0.25">
      <c r="A18" s="6">
        <v>1.2</v>
      </c>
      <c r="B18" s="16">
        <v>0.92</v>
      </c>
      <c r="C18" s="6">
        <f>Table1[[#This Row],[ratio]]*Table2[s1]</f>
        <v>6.9134078212290504</v>
      </c>
      <c r="D18" s="6">
        <f>Table1[[#This Row],[ratio]]*Table2[s2]</f>
        <v>13.826815642458101</v>
      </c>
      <c r="E18" s="6">
        <f>Table1[[#This Row],[ratio]]*Table2[s3]</f>
        <v>27.653631284916202</v>
      </c>
      <c r="F18" s="6">
        <f>Table1[[#This Row],[ratio]]*Table2[s4]</f>
        <v>55.307262569832403</v>
      </c>
      <c r="G18" s="2">
        <f>Table1[[#This Row],[speed1]]*Table4[idle]/Table4[rated]</f>
        <v>2.5139664804469275</v>
      </c>
      <c r="H18" s="3">
        <f>Table1[[#This Row],[speed4]]*Table4[idle]/Table4[rated]</f>
        <v>20.11173184357542</v>
      </c>
      <c r="I18" s="5">
        <f>Table4[rated]/(Table1[[#This Row],[speed1]]/3.6 * 60 / (1*2*PI()))</f>
        <v>119.96695146508223</v>
      </c>
      <c r="J18" s="5">
        <f>Table4[rated]/(Table1[[#This Row],[speed4]]/3.6 * 60 / (1*2*PI()))</f>
        <v>14.995868933135279</v>
      </c>
      <c r="K18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ratio="1.2" factor="0.92"/&gt; &lt;!-- 2.51 .. 55.3 --&gt;</v>
      </c>
      <c r="L18" t="str">
        <f>Table1[[#This Row],[xml]]</f>
        <v xml:space="preserve">        &lt;efficiency ratio="1.2" factor="0.92"/&gt; &lt;!-- 2.51 .. 55.3 --&gt;</v>
      </c>
    </row>
    <row r="19" spans="1:12" x14ac:dyDescent="0.25">
      <c r="A19" s="6">
        <v>1.33</v>
      </c>
      <c r="B19" s="16">
        <v>0.89</v>
      </c>
      <c r="C19" s="6">
        <f>Table1[[#This Row],[ratio]]*Table2[s1]</f>
        <v>7.6623603351955314</v>
      </c>
      <c r="D19" s="6">
        <f>Table1[[#This Row],[ratio]]*Table2[s2]</f>
        <v>15.324720670391063</v>
      </c>
      <c r="E19" s="6">
        <f>Table1[[#This Row],[ratio]]*Table2[s3]</f>
        <v>30.649441340782126</v>
      </c>
      <c r="F19" s="6">
        <f>Table1[[#This Row],[ratio]]*Table2[s4]</f>
        <v>61.298882681564251</v>
      </c>
      <c r="G19" s="1">
        <f>Table1[[#This Row],[speed1]]*Table4[idle]/Table4[rated]</f>
        <v>2.7863128491620115</v>
      </c>
      <c r="H19" s="1">
        <f>Table1[[#This Row],[speed4]]*Table4[idle]/Table4[rated]</f>
        <v>22.290502793296092</v>
      </c>
      <c r="I19" s="5">
        <f>Table4[rated]/(Table1[[#This Row],[speed1]]/3.6 * 60 / (1*2*PI()))</f>
        <v>108.24085846473584</v>
      </c>
      <c r="J19" s="5">
        <f>Table4[rated]/(Table1[[#This Row],[speed4]]/3.6 * 60 / (1*2*PI()))</f>
        <v>13.53010730809198</v>
      </c>
      <c r="K19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ratio="1.33" factor="0.89"/&gt; &lt;!-- 2.79 .. 61.3 --&gt;</v>
      </c>
      <c r="L19" t="str">
        <f>Table1[[#This Row],[xml]]</f>
        <v xml:space="preserve">        &lt;efficiency ratio="1.33" factor="0.89"/&gt; &lt;!-- 2.79 .. 61.3 --&gt;</v>
      </c>
    </row>
    <row r="20" spans="1:12" x14ac:dyDescent="0.25">
      <c r="A20" s="6">
        <v>1.5</v>
      </c>
      <c r="B20" s="16">
        <v>0.86</v>
      </c>
      <c r="C20" s="6">
        <f>Table1[[#This Row],[ratio]]*Table2[s1]</f>
        <v>8.641759776536313</v>
      </c>
      <c r="D20" s="6">
        <f>Table1[[#This Row],[ratio]]*Table2[s2]</f>
        <v>17.283519553072626</v>
      </c>
      <c r="E20" s="6">
        <f>Table1[[#This Row],[ratio]]*Table2[s3]</f>
        <v>34.567039106145252</v>
      </c>
      <c r="F20" s="6">
        <f>Table1[[#This Row],[ratio]]*Table2[s4]</f>
        <v>69.134078212290504</v>
      </c>
      <c r="G20" s="2">
        <f>Table1[[#This Row],[speed1]]*Table4[idle]/Table4[rated]</f>
        <v>3.1424581005586592</v>
      </c>
      <c r="H20" s="3">
        <f>Table1[[#This Row],[speed4]]*Table4[idle]/Table4[rated]</f>
        <v>25.139664804469273</v>
      </c>
      <c r="I20" s="5">
        <f>Table4[rated]/(Table1[[#This Row],[speed1]]/3.6 * 60 / (1*2*PI()))</f>
        <v>95.973561172065786</v>
      </c>
      <c r="J20" s="5">
        <f>Table4[rated]/(Table1[[#This Row],[speed4]]/3.6 * 60 / (1*2*PI()))</f>
        <v>11.996695146508223</v>
      </c>
      <c r="K20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ratio="1.5" factor="0.86"/&gt; &lt;!-- 3.14 .. 69.1 --&gt;</v>
      </c>
      <c r="L20" t="s">
        <v>32</v>
      </c>
    </row>
    <row r="21" spans="1:12" x14ac:dyDescent="0.25">
      <c r="A21" s="6">
        <v>1.67</v>
      </c>
      <c r="B21" s="16">
        <v>0.8</v>
      </c>
      <c r="C21" s="6">
        <f>Table1[[#This Row],[ratio]]*Table2[s1]</f>
        <v>9.6211592178770946</v>
      </c>
      <c r="D21" s="6">
        <f>Table1[[#This Row],[ratio]]*Table2[s2]</f>
        <v>19.242318435754189</v>
      </c>
      <c r="E21" s="6">
        <f>Table1[[#This Row],[ratio]]*Table2[s3]</f>
        <v>38.484636871508378</v>
      </c>
      <c r="F21" s="6">
        <f>Table1[[#This Row],[ratio]]*Table2[s4]</f>
        <v>76.969273743016757</v>
      </c>
      <c r="G21" s="2">
        <f>Table1[[#This Row],[speed1]]*Table4[idle]/Table4[rated]</f>
        <v>3.4986033519553073</v>
      </c>
      <c r="H21" s="3">
        <f>Table1[[#This Row],[speed4]]*Table4[idle]/Table4[rated]</f>
        <v>27.988826815642458</v>
      </c>
      <c r="I21" s="5">
        <f>Table4[rated]/(Table1[[#This Row],[speed1]]/3.6 * 60 / (1*2*PI()))</f>
        <v>86.203797459939324</v>
      </c>
      <c r="J21" s="5">
        <f>Table4[rated]/(Table1[[#This Row],[speed4]]/3.6 * 60 / (1*2*PI()))</f>
        <v>10.775474682492415</v>
      </c>
      <c r="K21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ratio="1.67" factor="0.8"/&gt; &lt;!-- 3.5 .. 77 --&gt;</v>
      </c>
    </row>
    <row r="22" spans="1:12" x14ac:dyDescent="0.25">
      <c r="A22" s="6">
        <v>1.75</v>
      </c>
      <c r="B22" s="16">
        <v>0.75</v>
      </c>
      <c r="C22" s="6">
        <f>Table1[[#This Row],[ratio]]*Table2[s1]</f>
        <v>10.082053072625698</v>
      </c>
      <c r="D22" s="6">
        <f>Table1[[#This Row],[ratio]]*Table2[s2]</f>
        <v>20.164106145251395</v>
      </c>
      <c r="E22" s="6">
        <f>Table1[[#This Row],[ratio]]*Table2[s3]</f>
        <v>40.32821229050279</v>
      </c>
      <c r="F22" s="6">
        <f>Table1[[#This Row],[ratio]]*Table2[s4]</f>
        <v>80.656424581005581</v>
      </c>
      <c r="G22" s="2">
        <f>Table1[[#This Row],[speed1]]*Table4[idle]/Table4[rated]</f>
        <v>3.6662011173184355</v>
      </c>
      <c r="H22" s="3">
        <f>Table1[[#This Row],[speed4]]*Table4[idle]/Table4[rated]</f>
        <v>29.329608938547484</v>
      </c>
      <c r="I22" s="5">
        <f>Table4[rated]/(Table1[[#This Row],[speed1]]/3.6 * 60 / (1*2*PI()))</f>
        <v>82.263052433199249</v>
      </c>
      <c r="J22" s="5">
        <f>Table4[rated]/(Table1[[#This Row],[speed4]]/3.6 * 60 / (1*2*PI()))</f>
        <v>10.282881554149906</v>
      </c>
      <c r="K22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ratio="1.75" factor="0.75"/&gt; &lt;!-- 3.67 .. 80.7 --&gt;</v>
      </c>
    </row>
    <row r="23" spans="1:12" x14ac:dyDescent="0.25">
      <c r="A23" s="6">
        <v>2</v>
      </c>
      <c r="B23" s="16">
        <v>0.5</v>
      </c>
      <c r="C23" s="6">
        <f>Table1[[#This Row],[ratio]]*Table2[s1]</f>
        <v>11.522346368715084</v>
      </c>
      <c r="D23" s="6">
        <f>Table1[[#This Row],[ratio]]*Table2[s2]</f>
        <v>23.044692737430168</v>
      </c>
      <c r="E23" s="6">
        <f>Table1[[#This Row],[ratio]]*Table2[s3]</f>
        <v>46.089385474860336</v>
      </c>
      <c r="F23" s="6">
        <f>Table1[[#This Row],[ratio]]*Table2[s4]</f>
        <v>92.178770949720672</v>
      </c>
      <c r="G23" s="2">
        <f>Table1[[#This Row],[speed1]]*Table4[idle]/Table4[rated]</f>
        <v>4.1899441340782122</v>
      </c>
      <c r="H23" s="3">
        <f>Table1[[#This Row],[speed4]]*Table4[idle]/Table4[rated]</f>
        <v>33.519553072625698</v>
      </c>
      <c r="I23" s="5">
        <f>Table4[rated]/(Table1[[#This Row],[speed1]]/3.6 * 60 / (1*2*PI()))</f>
        <v>71.980170879049339</v>
      </c>
      <c r="J23" s="5">
        <f>Table4[rated]/(Table1[[#This Row],[speed4]]/3.6 * 60 / (1*2*PI()))</f>
        <v>8.9975213598811674</v>
      </c>
      <c r="K23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ratio="2" factor="0.5"/&gt; &lt;!-- 4.19 .. 92.2 --&gt;</v>
      </c>
    </row>
    <row r="24" spans="1:12" x14ac:dyDescent="0.25">
      <c r="C24" s="6"/>
      <c r="D24" s="6"/>
      <c r="E24" s="6"/>
      <c r="F24" s="6"/>
      <c r="G24" s="2"/>
      <c r="H24" s="3"/>
      <c r="I24" s="5"/>
      <c r="J24" s="5"/>
      <c r="K24" s="4"/>
      <c r="L24" t="s">
        <v>42</v>
      </c>
    </row>
    <row r="25" spans="1:12" x14ac:dyDescent="0.25">
      <c r="E25" t="s">
        <v>27</v>
      </c>
      <c r="F25" t="s">
        <v>28</v>
      </c>
      <c r="G25" t="s">
        <v>10</v>
      </c>
      <c r="H25" t="s">
        <v>35</v>
      </c>
      <c r="I25" t="s">
        <v>29</v>
      </c>
      <c r="J25" t="s">
        <v>30</v>
      </c>
      <c r="K25" t="s">
        <v>4</v>
      </c>
      <c r="L25" s="4" t="e">
        <f>Table3[[#This Row],[xml]]</f>
        <v>#VALUE!</v>
      </c>
    </row>
    <row r="26" spans="1:12" x14ac:dyDescent="0.25">
      <c r="E26" s="5">
        <v>1</v>
      </c>
      <c r="F26" s="6">
        <f>INDEX(Table2[],1,Table3[[#This Row],[gear]])</f>
        <v>5.761173184357542</v>
      </c>
      <c r="G26" s="6">
        <f>$A$8*Table3[[#This Row],[speed]]*Table4[idle]/Table4[rated]</f>
        <v>0</v>
      </c>
      <c r="H26" s="1">
        <f>$A$11*Table3[[#This Row],[speed]]*Table4[idle]/Table4[rated]</f>
        <v>1.4036312849162014</v>
      </c>
      <c r="I26" s="1">
        <f>$A$11*Table3[[#This Row],[speed]]</f>
        <v>3.8599860335195535</v>
      </c>
      <c r="J26" s="1">
        <f>$A$19*Table3[[#This Row],[speed]]</f>
        <v>7.6623603351955314</v>
      </c>
      <c r="K26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speed="5.76" name=""/&gt; &lt;!-- 0 1.4 4 8--&gt;</v>
      </c>
      <c r="L26" s="4" t="str">
        <f>Table3[[#This Row],[xml]]</f>
        <v xml:space="preserve">        &lt;gear speed="5.76" name=""/&gt; &lt;!-- 0 1.4 4 8--&gt;</v>
      </c>
    </row>
    <row r="27" spans="1:12" x14ac:dyDescent="0.25">
      <c r="E27" s="5">
        <v>2</v>
      </c>
      <c r="F27" s="6">
        <f>INDEX(Table2[],1,Table3[[#This Row],[gear]])</f>
        <v>11.522346368715084</v>
      </c>
      <c r="G27" s="6">
        <f>$A$8*Table3[[#This Row],[speed]]*Table4[idle]/Table4[rated]</f>
        <v>0</v>
      </c>
      <c r="H27" s="1">
        <f>$A$11*Table3[[#This Row],[speed]]*Table4[idle]/Table4[rated]</f>
        <v>2.8072625698324027</v>
      </c>
      <c r="I27" s="1">
        <f>$A$11*Table3[[#This Row],[speed]]</f>
        <v>7.719972067039107</v>
      </c>
      <c r="J27" s="1">
        <f>$A$19*Table3[[#This Row],[speed]]</f>
        <v>15.324720670391063</v>
      </c>
      <c r="K27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speed="11.52" name=""/&gt; &lt;!-- 0 2.81 8 15--&gt;</v>
      </c>
      <c r="L27" s="4" t="str">
        <f>Table3[[#This Row],[xml]]</f>
        <v xml:space="preserve">        &lt;gear speed="11.52" name=""/&gt; &lt;!-- 0 2.81 8 15--&gt;</v>
      </c>
    </row>
    <row r="28" spans="1:12" x14ac:dyDescent="0.25">
      <c r="E28" s="5">
        <v>3</v>
      </c>
      <c r="F28" s="6">
        <f>INDEX(Table2[],1,Table3[[#This Row],[gear]])</f>
        <v>23.044692737430168</v>
      </c>
      <c r="G28" s="6">
        <f>$A$8*Table3[[#This Row],[speed]]*Table4[idle]/Table4[rated]</f>
        <v>0</v>
      </c>
      <c r="H28" s="1">
        <f>$A$11*Table3[[#This Row],[speed]]*Table4[idle]/Table4[rated]</f>
        <v>5.6145251396648055</v>
      </c>
      <c r="I28" s="1">
        <f>$A$11*Table3[[#This Row],[speed]]</f>
        <v>15.439944134078214</v>
      </c>
      <c r="J28" s="1">
        <f>$A$19*Table3[[#This Row],[speed]]</f>
        <v>30.649441340782126</v>
      </c>
      <c r="K28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speed="23.04" name=""/&gt; &lt;!-- 0 5.61 15 31--&gt;</v>
      </c>
      <c r="L28" s="4" t="str">
        <f>Table3[[#This Row],[xml]]</f>
        <v xml:space="preserve">        &lt;gear speed="23.04" name=""/&gt; &lt;!-- 0 5.61 15 31--&gt;</v>
      </c>
    </row>
    <row r="29" spans="1:12" x14ac:dyDescent="0.25">
      <c r="E29" s="5">
        <v>4</v>
      </c>
      <c r="F29" s="6">
        <f>INDEX(Table2[],1,Table3[[#This Row],[gear]])</f>
        <v>46.089385474860336</v>
      </c>
      <c r="G29" s="6">
        <f>$A$8*Table3[[#This Row],[speed]]*Table4[idle]/Table4[rated]</f>
        <v>0</v>
      </c>
      <c r="H29" s="1">
        <f>$A$11*Table3[[#This Row],[speed]]*Table4[idle]/Table4[rated]</f>
        <v>11.229050279329611</v>
      </c>
      <c r="I29" s="1">
        <f>$A$11*Table3[[#This Row],[speed]]</f>
        <v>30.879888268156428</v>
      </c>
      <c r="J29" s="1">
        <f>$A$19*Table3[[#This Row],[speed]]</f>
        <v>61.298882681564251</v>
      </c>
      <c r="K29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speed="46.09" name=""/&gt; &lt;!-- 0 11.23 31 61--&gt;</v>
      </c>
      <c r="L29" t="s">
        <v>33</v>
      </c>
    </row>
    <row r="30" spans="1:12" x14ac:dyDescent="0.25">
      <c r="L30" t="s">
        <v>43</v>
      </c>
    </row>
    <row r="33" spans="1:2" x14ac:dyDescent="0.25">
      <c r="A33" t="s">
        <v>40</v>
      </c>
      <c r="B33" t="s">
        <v>41</v>
      </c>
    </row>
    <row r="34" spans="1:2" x14ac:dyDescent="0.25">
      <c r="A34" s="11">
        <f>C8</f>
        <v>0</v>
      </c>
      <c r="B34">
        <f>B8</f>
        <v>0.5</v>
      </c>
    </row>
    <row r="35" spans="1:2" x14ac:dyDescent="0.25">
      <c r="A35" s="11">
        <f t="shared" ref="A35:A41" si="0">C11</f>
        <v>3.8599860335195535</v>
      </c>
      <c r="B35">
        <f t="shared" ref="B35:B41" si="1">B11</f>
        <v>0.87</v>
      </c>
    </row>
    <row r="36" spans="1:2" x14ac:dyDescent="0.25">
      <c r="A36" s="11">
        <f t="shared" si="0"/>
        <v>4.6089385474860336</v>
      </c>
      <c r="B36">
        <f t="shared" si="1"/>
        <v>0.93</v>
      </c>
    </row>
    <row r="37" spans="1:2" x14ac:dyDescent="0.25">
      <c r="A37" s="11">
        <f t="shared" si="0"/>
        <v>5.1850558659217878</v>
      </c>
      <c r="B37">
        <f t="shared" si="1"/>
        <v>0.97</v>
      </c>
    </row>
    <row r="38" spans="1:2" x14ac:dyDescent="0.25">
      <c r="A38" s="11">
        <f t="shared" si="0"/>
        <v>5.4731145251396649</v>
      </c>
      <c r="B38">
        <f t="shared" si="1"/>
        <v>0.97799999999999998</v>
      </c>
    </row>
    <row r="39" spans="1:2" x14ac:dyDescent="0.25">
      <c r="A39" s="11">
        <f t="shared" si="0"/>
        <v>5.761173184357542</v>
      </c>
      <c r="B39">
        <f t="shared" si="1"/>
        <v>0.98</v>
      </c>
    </row>
    <row r="40" spans="1:2" x14ac:dyDescent="0.25">
      <c r="A40" s="11">
        <f t="shared" si="0"/>
        <v>5.9916201117318435</v>
      </c>
      <c r="B40">
        <f t="shared" si="1"/>
        <v>0.97</v>
      </c>
    </row>
    <row r="41" spans="1:2" x14ac:dyDescent="0.25">
      <c r="A41" s="11">
        <f t="shared" si="0"/>
        <v>6.3372905027932971</v>
      </c>
      <c r="B41">
        <f t="shared" si="1"/>
        <v>0.94499999999999995</v>
      </c>
    </row>
    <row r="42" spans="1:2" x14ac:dyDescent="0.25">
      <c r="A42" s="11">
        <f t="shared" ref="A42" si="2">C18</f>
        <v>6.9134078212290504</v>
      </c>
      <c r="B42">
        <f t="shared" ref="B42" si="3">B18</f>
        <v>0.92</v>
      </c>
    </row>
    <row r="43" spans="1:2" x14ac:dyDescent="0.25">
      <c r="A43" s="6">
        <f t="shared" ref="A43:A49" si="4">D11</f>
        <v>7.719972067039107</v>
      </c>
      <c r="B43">
        <f>MAX(B11,B19)</f>
        <v>0.89</v>
      </c>
    </row>
    <row r="44" spans="1:2" x14ac:dyDescent="0.25">
      <c r="A44" s="6">
        <f t="shared" si="4"/>
        <v>9.2178770949720672</v>
      </c>
      <c r="B44">
        <f>MAX(B12,B20)</f>
        <v>0.93</v>
      </c>
    </row>
    <row r="45" spans="1:2" x14ac:dyDescent="0.25">
      <c r="A45" s="6">
        <f t="shared" si="4"/>
        <v>10.370111731843576</v>
      </c>
      <c r="B45">
        <f>MAX(B13,B24)</f>
        <v>0.97</v>
      </c>
    </row>
    <row r="46" spans="1:2" x14ac:dyDescent="0.25">
      <c r="A46" s="6">
        <f t="shared" si="4"/>
        <v>10.94622905027933</v>
      </c>
      <c r="B46">
        <f>MAX(B14,B25)</f>
        <v>0.97799999999999998</v>
      </c>
    </row>
    <row r="47" spans="1:2" x14ac:dyDescent="0.25">
      <c r="A47" s="6">
        <f t="shared" si="4"/>
        <v>11.522346368715084</v>
      </c>
      <c r="B47">
        <f>MAX(B15,B26)</f>
        <v>0.98</v>
      </c>
    </row>
    <row r="48" spans="1:2" x14ac:dyDescent="0.25">
      <c r="A48" s="6">
        <f t="shared" si="4"/>
        <v>11.983240223463687</v>
      </c>
      <c r="B48">
        <f>MAX(B16,B27)</f>
        <v>0.97</v>
      </c>
    </row>
    <row r="49" spans="1:2" x14ac:dyDescent="0.25">
      <c r="A49" s="6">
        <f t="shared" si="4"/>
        <v>12.674581005586594</v>
      </c>
      <c r="B49">
        <f>MAX(B17,B28)</f>
        <v>0.94499999999999995</v>
      </c>
    </row>
    <row r="50" spans="1:2" x14ac:dyDescent="0.25">
      <c r="A50" s="6">
        <f t="shared" ref="A50" si="5">D19</f>
        <v>15.324720670391063</v>
      </c>
      <c r="B50">
        <f t="shared" ref="B50" si="6">B19</f>
        <v>0.89</v>
      </c>
    </row>
    <row r="51" spans="1:2" x14ac:dyDescent="0.25">
      <c r="A51" s="6">
        <f>E11</f>
        <v>15.439944134078214</v>
      </c>
      <c r="B51">
        <f>MAX(B11,B19)</f>
        <v>0.89</v>
      </c>
    </row>
    <row r="52" spans="1:2" x14ac:dyDescent="0.25">
      <c r="A52" s="6">
        <f>E12</f>
        <v>18.435754189944134</v>
      </c>
      <c r="B52">
        <f>B12</f>
        <v>0.93</v>
      </c>
    </row>
    <row r="53" spans="1:2" x14ac:dyDescent="0.25">
      <c r="A53" s="6">
        <f t="shared" ref="A53:A57" si="7">E13</f>
        <v>20.740223463687151</v>
      </c>
      <c r="B53">
        <f t="shared" ref="B53:B57" si="8">B13</f>
        <v>0.97</v>
      </c>
    </row>
    <row r="54" spans="1:2" x14ac:dyDescent="0.25">
      <c r="A54" s="6">
        <f t="shared" si="7"/>
        <v>21.89245810055866</v>
      </c>
      <c r="B54">
        <f t="shared" si="8"/>
        <v>0.97799999999999998</v>
      </c>
    </row>
    <row r="55" spans="1:2" x14ac:dyDescent="0.25">
      <c r="A55" s="6">
        <f t="shared" si="7"/>
        <v>23.044692737430168</v>
      </c>
      <c r="B55">
        <f t="shared" si="8"/>
        <v>0.98</v>
      </c>
    </row>
    <row r="56" spans="1:2" x14ac:dyDescent="0.25">
      <c r="A56" s="6">
        <f t="shared" si="7"/>
        <v>23.966480446927374</v>
      </c>
      <c r="B56">
        <f t="shared" si="8"/>
        <v>0.97</v>
      </c>
    </row>
    <row r="57" spans="1:2" x14ac:dyDescent="0.25">
      <c r="A57" s="6">
        <f t="shared" si="7"/>
        <v>25.349162011173188</v>
      </c>
      <c r="B57">
        <f t="shared" si="8"/>
        <v>0.94499999999999995</v>
      </c>
    </row>
    <row r="58" spans="1:2" x14ac:dyDescent="0.25">
      <c r="A58" s="6">
        <f t="shared" ref="A58" si="9">E19</f>
        <v>30.649441340782126</v>
      </c>
      <c r="B58">
        <f t="shared" ref="B58" si="10">B19</f>
        <v>0.89</v>
      </c>
    </row>
    <row r="59" spans="1:2" x14ac:dyDescent="0.25">
      <c r="A59" s="6">
        <f>F11</f>
        <v>30.879888268156428</v>
      </c>
      <c r="B59" s="6">
        <f>MAX(B11,B19)</f>
        <v>0.89</v>
      </c>
    </row>
    <row r="60" spans="1:2" x14ac:dyDescent="0.25">
      <c r="A60" s="6">
        <f>F12</f>
        <v>36.871508379888269</v>
      </c>
      <c r="B60">
        <f>B12</f>
        <v>0.93</v>
      </c>
    </row>
    <row r="61" spans="1:2" x14ac:dyDescent="0.25">
      <c r="A61" s="6">
        <f t="shared" ref="A61:A65" si="11">F13</f>
        <v>41.480446927374302</v>
      </c>
      <c r="B61">
        <f t="shared" ref="B61:B65" si="12">B13</f>
        <v>0.97</v>
      </c>
    </row>
    <row r="62" spans="1:2" x14ac:dyDescent="0.25">
      <c r="A62" s="6">
        <f t="shared" si="11"/>
        <v>43.784916201117319</v>
      </c>
      <c r="B62">
        <f t="shared" si="12"/>
        <v>0.97799999999999998</v>
      </c>
    </row>
    <row r="63" spans="1:2" x14ac:dyDescent="0.25">
      <c r="A63" s="6">
        <f t="shared" si="11"/>
        <v>46.089385474860336</v>
      </c>
      <c r="B63">
        <f t="shared" si="12"/>
        <v>0.98</v>
      </c>
    </row>
    <row r="64" spans="1:2" x14ac:dyDescent="0.25">
      <c r="A64" s="6">
        <f t="shared" si="11"/>
        <v>47.932960893854748</v>
      </c>
      <c r="B64">
        <f t="shared" si="12"/>
        <v>0.97</v>
      </c>
    </row>
    <row r="65" spans="1:2" x14ac:dyDescent="0.25">
      <c r="A65" s="6">
        <f t="shared" si="11"/>
        <v>50.698324022346377</v>
      </c>
      <c r="B65">
        <f t="shared" si="12"/>
        <v>0.94499999999999995</v>
      </c>
    </row>
    <row r="66" spans="1:2" x14ac:dyDescent="0.25">
      <c r="A66" s="6">
        <f>F19</f>
        <v>61.298882681564251</v>
      </c>
      <c r="B66">
        <f t="shared" ref="B66" si="13">B19</f>
        <v>0.89</v>
      </c>
    </row>
    <row r="67" spans="1:2" x14ac:dyDescent="0.25">
      <c r="A67" s="6"/>
    </row>
    <row r="68" spans="1:2" x14ac:dyDescent="0.25">
      <c r="A68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-1</v>
      </c>
      <c r="B2">
        <v>0.65</v>
      </c>
      <c r="C2" t="str">
        <f>CONCATENATE("   table.insert(self.mrGbMS.HydrostaticEfficiency, {time=",Table16[[#This Row],[r]]," , v=",MAX(Table16[[#This Row],[e]],0.000001),"})")</f>
        <v xml:space="preserve">   table.insert(self.mrGbMS.HydrostaticEfficiency, {time=-1 , v=0.65})</v>
      </c>
    </row>
    <row r="3" spans="1:3" x14ac:dyDescent="0.25">
      <c r="A3">
        <v>-0.01</v>
      </c>
      <c r="B3">
        <v>0.82</v>
      </c>
      <c r="C3" t="str">
        <f>CONCATENATE("   table.insert(self.mrGbMS.HydrostaticEfficiency, {time=",Table16[[#This Row],[r]]," , v=",MAX(Table16[[#This Row],[e]],0.000001),"})")</f>
        <v xml:space="preserve">   table.insert(self.mrGbMS.HydrostaticEfficiency, {time=-0.01 , v=0.82})</v>
      </c>
    </row>
    <row r="4" spans="1:3" x14ac:dyDescent="0.25">
      <c r="A4">
        <v>0</v>
      </c>
      <c r="B4">
        <v>0</v>
      </c>
      <c r="C4" t="str">
        <f>CONCATENATE("   table.insert(self.mrGbMS.HydrostaticEfficiency, {time=",Table16[[#This Row],[r]]," , v=",MAX(Table16[[#This Row],[e]],0.000001),"})")</f>
        <v xml:space="preserve">   table.insert(self.mrGbMS.HydrostaticEfficiency, {time=0 , v=0.000001})</v>
      </c>
    </row>
    <row r="5" spans="1:3" x14ac:dyDescent="0.25">
      <c r="A5">
        <v>0.01</v>
      </c>
      <c r="B5">
        <v>0.82499999999999996</v>
      </c>
      <c r="C5" t="str">
        <f>CONCATENATE("   table.insert(self.mrGbMS.HydrostaticEfficiency, {time=",Table16[[#This Row],[r]]," , v=",MAX(Table16[[#This Row],[e]],0.000001),"})")</f>
        <v xml:space="preserve">   table.insert(self.mrGbMS.HydrostaticEfficiency, {time=0.01 , v=0.825})</v>
      </c>
    </row>
    <row r="6" spans="1:3" x14ac:dyDescent="0.25">
      <c r="A6">
        <v>1</v>
      </c>
      <c r="B6">
        <v>0.98</v>
      </c>
      <c r="C6" t="str">
        <f>CONCATENATE("   table.insert(self.mrGbMS.HydrostaticEfficiency, {time=",Table16[[#This Row],[r]]," , v=",MAX(Table16[[#This Row],[e]],0.000001),"})")</f>
        <v xml:space="preserve">   table.insert(self.mrGbMS.HydrostaticEfficiency, {time=1 , v=0.98})</v>
      </c>
    </row>
    <row r="7" spans="1:3" x14ac:dyDescent="0.25">
      <c r="A7">
        <v>1.5</v>
      </c>
      <c r="B7">
        <v>0.89</v>
      </c>
      <c r="C7" t="str">
        <f>CONCATENATE("   table.insert(self.mrGbMS.HydrostaticEfficiency, {time=",Table16[[#This Row],[r]]," , v=",MAX(Table16[[#This Row],[e]],0.000001),"})")</f>
        <v xml:space="preserve">   table.insert(self.mrGbMS.HydrostaticEfficiency, {time=1.5 , v=0.89})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3" max="3" width="10.7109375" customWidth="1"/>
  </cols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</v>
      </c>
      <c r="C2" t="str">
        <f>CONCATENATE("   table.insert(self.mrGbMS.HydrostaticEfficiency, {time=",Table168[[#This Row],[r]]," , v=",MAX(Table168[[#This Row],[e]],0.000001),"})")</f>
        <v xml:space="preserve">   table.insert(self.mrGbMS.HydrostaticEfficiency, {time=0 , v=0.000001})</v>
      </c>
    </row>
    <row r="3" spans="1:3" x14ac:dyDescent="0.25">
      <c r="A3">
        <v>0.05</v>
      </c>
      <c r="B3">
        <v>0.4</v>
      </c>
      <c r="C3" s="4" t="str">
        <f>CONCATENATE("   table.insert(self.mrGbMS.HydrostaticEfficiency, {time=",Table168[[#This Row],[r]]," , v=",MAX(Table168[[#This Row],[e]],0.000001),"})")</f>
        <v xml:space="preserve">   table.insert(self.mrGbMS.HydrostaticEfficiency, {time=0.05 , v=0.4})</v>
      </c>
    </row>
    <row r="4" spans="1:3" x14ac:dyDescent="0.25">
      <c r="A4">
        <v>0.2</v>
      </c>
      <c r="B4">
        <v>0.75</v>
      </c>
      <c r="C4" t="str">
        <f>CONCATENATE("   table.insert(self.mrGbMS.HydrostaticEfficiency, {time=",Table168[[#This Row],[r]]," , v=",MAX(Table168[[#This Row],[e]],0.000001),"})")</f>
        <v xml:space="preserve">   table.insert(self.mrGbMS.HydrostaticEfficiency, {time=0.2 , v=0.75})</v>
      </c>
    </row>
    <row r="5" spans="1:3" x14ac:dyDescent="0.25">
      <c r="A5">
        <v>0.4</v>
      </c>
      <c r="B5">
        <v>0.84</v>
      </c>
      <c r="C5" t="str">
        <f>CONCATENATE("   table.insert(self.mrGbMS.HydrostaticEfficiency, {time=",Table168[[#This Row],[r]]," , v=",MAX(Table168[[#This Row],[e]],0.000001),"})")</f>
        <v xml:space="preserve">   table.insert(self.mrGbMS.HydrostaticEfficiency, {time=0.4 , v=0.84})</v>
      </c>
    </row>
    <row r="6" spans="1:3" x14ac:dyDescent="0.25">
      <c r="A6">
        <v>0.7</v>
      </c>
      <c r="B6">
        <v>0.93</v>
      </c>
      <c r="C6" t="str">
        <f>CONCATENATE("   table.insert(self.mrGbMS.HydrostaticEfficiency, {time=",Table168[[#This Row],[r]]," , v=",MAX(Table168[[#This Row],[e]],0.000001),"})")</f>
        <v xml:space="preserve">   table.insert(self.mrGbMS.HydrostaticEfficiency, {time=0.7 , v=0.93})</v>
      </c>
    </row>
    <row r="7" spans="1:3" x14ac:dyDescent="0.25">
      <c r="A7">
        <v>0.9</v>
      </c>
      <c r="B7">
        <v>0.97</v>
      </c>
      <c r="C7" t="str">
        <f>CONCATENATE("   table.insert(self.mrGbMS.HydrostaticEfficiency, {time=",Table168[[#This Row],[r]]," , v=",MAX(Table168[[#This Row],[e]],0.000001),"})")</f>
        <v xml:space="preserve">   table.insert(self.mrGbMS.HydrostaticEfficiency, {time=0.9 , v=0.97})</v>
      </c>
    </row>
    <row r="8" spans="1:3" x14ac:dyDescent="0.25">
      <c r="A8">
        <v>1</v>
      </c>
      <c r="B8">
        <v>0.98</v>
      </c>
      <c r="C8" t="str">
        <f>CONCATENATE("   table.insert(self.mrGbMS.HydrostaticEfficiency, {time=",Table168[[#This Row],[r]]," , v=",MAX(Table168[[#This Row],[e]],0.000001),"})")</f>
        <v xml:space="preserve">   table.insert(self.mrGbMS.HydrostaticEfficiency, {time=1 , v=0.98})</v>
      </c>
    </row>
    <row r="9" spans="1:3" x14ac:dyDescent="0.25">
      <c r="A9">
        <v>1.1000000000000001</v>
      </c>
      <c r="B9">
        <v>0.97</v>
      </c>
      <c r="C9" t="str">
        <f>CONCATENATE("   table.insert(self.mrGbMS.HydrostaticEfficiency, {time=",Table168[[#This Row],[r]]," , v=",MAX(Table168[[#This Row],[e]],0.000001),"})")</f>
        <v xml:space="preserve">   table.insert(self.mrGbMS.HydrostaticEfficiency, {time=1.1 , v=0.97})</v>
      </c>
    </row>
    <row r="10" spans="1:3" x14ac:dyDescent="0.25">
      <c r="A10">
        <v>1.2</v>
      </c>
      <c r="B10">
        <v>0.95</v>
      </c>
      <c r="C10" t="str">
        <f>CONCATENATE("   table.insert(self.mrGbMS.HydrostaticEfficiency, {time=",Table168[[#This Row],[r]]," , v=",MAX(Table168[[#This Row],[e]],0.000001),"})")</f>
        <v xml:space="preserve">   table.insert(self.mrGbMS.HydrostaticEfficiency, {time=1.2 , v=0.95})</v>
      </c>
    </row>
    <row r="11" spans="1:3" x14ac:dyDescent="0.25">
      <c r="A11">
        <v>1.4</v>
      </c>
      <c r="B11">
        <v>0.9</v>
      </c>
      <c r="C11" t="str">
        <f>CONCATENATE("   table.insert(self.mrGbMS.HydrostaticEfficiency, {time=",Table168[[#This Row],[r]]," , v=",MAX(Table168[[#This Row],[e]],0.000001),"})")</f>
        <v xml:space="preserve">   table.insert(self.mrGbMS.HydrostaticEfficiency, {time=1.4 , v=0.9})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 s="16">
        <v>-1</v>
      </c>
      <c r="B2" s="16">
        <v>0.87</v>
      </c>
      <c r="C2" s="16" t="str">
        <f>CONCATENATE("   table.insert(self.mrGbMS.HydrostaticEfficiency, {time=",Table1689[[#This Row],[r]]," , v=",MAX(Table1689[[#This Row],[e]],0.000001),"})")</f>
        <v xml:space="preserve">   table.insert(self.mrGbMS.HydrostaticEfficiency, {time=-1 , v=0.87})</v>
      </c>
    </row>
    <row r="3" spans="1:3" x14ac:dyDescent="0.25">
      <c r="A3" s="16">
        <v>-0.85</v>
      </c>
      <c r="B3" s="16">
        <v>0.92</v>
      </c>
      <c r="C3" s="16" t="str">
        <f>CONCATENATE("   table.insert(self.mrGbMS.HydrostaticEfficiency, {time=",Table1689[[#This Row],[r]]," , v=",MAX(Table1689[[#This Row],[e]],0.000001),"})")</f>
        <v xml:space="preserve">   table.insert(self.mrGbMS.HydrostaticEfficiency, {time=-0.85 , v=0.92})</v>
      </c>
    </row>
    <row r="4" spans="1:3" x14ac:dyDescent="0.25">
      <c r="A4" s="16">
        <v>-0.7</v>
      </c>
      <c r="B4" s="16">
        <v>0.93</v>
      </c>
      <c r="C4" s="16" t="str">
        <f>CONCATENATE("   table.insert(self.mrGbMS.HydrostaticEfficiency, {time=",Table1689[[#This Row],[r]]," , v=",MAX(Table1689[[#This Row],[e]],0.000001),"})")</f>
        <v xml:space="preserve">   table.insert(self.mrGbMS.HydrostaticEfficiency, {time=-0.7 , v=0.93})</v>
      </c>
    </row>
    <row r="5" spans="1:3" x14ac:dyDescent="0.25">
      <c r="A5" s="16">
        <v>-0.5</v>
      </c>
      <c r="B5" s="16">
        <v>0.87</v>
      </c>
      <c r="C5" s="16" t="str">
        <f>CONCATENATE("   table.insert(self.mrGbMS.HydrostaticEfficiency, {time=",Table1689[[#This Row],[r]]," , v=",MAX(Table1689[[#This Row],[e]],0.000001),"})")</f>
        <v xml:space="preserve">   table.insert(self.mrGbMS.HydrostaticEfficiency, {time=-0.5 , v=0.87})</v>
      </c>
    </row>
    <row r="6" spans="1:3" x14ac:dyDescent="0.25">
      <c r="A6" s="16">
        <v>-0.15</v>
      </c>
      <c r="B6" s="16">
        <v>0.71</v>
      </c>
      <c r="C6" s="16" t="str">
        <f>CONCATENATE("   table.insert(self.mrGbMS.HydrostaticEfficiency, {time=",Table1689[[#This Row],[r]]," , v=",MAX(Table1689[[#This Row],[e]],0.000001),"})")</f>
        <v xml:space="preserve">   table.insert(self.mrGbMS.HydrostaticEfficiency, {time=-0.15 , v=0.71})</v>
      </c>
    </row>
    <row r="7" spans="1:3" x14ac:dyDescent="0.25">
      <c r="A7" s="16">
        <v>-0.01</v>
      </c>
      <c r="B7" s="16">
        <v>0.6</v>
      </c>
      <c r="C7" s="16" t="str">
        <f>CONCATENATE("   table.insert(self.mrGbMS.HydrostaticEfficiency, {time=",Table1689[[#This Row],[r]]," , v=",MAX(Table1689[[#This Row],[e]],0.000001),"})")</f>
        <v xml:space="preserve">   table.insert(self.mrGbMS.HydrostaticEfficiency, {time=-0.01 , v=0.6})</v>
      </c>
    </row>
    <row r="8" spans="1:3" x14ac:dyDescent="0.25">
      <c r="A8" s="16">
        <v>0</v>
      </c>
      <c r="B8" s="16">
        <v>0.5</v>
      </c>
      <c r="C8" s="16" t="str">
        <f>CONCATENATE("   table.insert(self.mrGbMS.HydrostaticEfficiency, {time=",Table1689[[#This Row],[r]]," , v=",MAX(Table1689[[#This Row],[e]],0.000001),"})")</f>
        <v xml:space="preserve">   table.insert(self.mrGbMS.HydrostaticEfficiency, {time=0 , v=0.5})</v>
      </c>
    </row>
    <row r="9" spans="1:3" x14ac:dyDescent="0.25">
      <c r="A9" s="16">
        <v>0.01</v>
      </c>
      <c r="B9" s="16">
        <v>0.6</v>
      </c>
      <c r="C9" s="16" t="str">
        <f>CONCATENATE("   table.insert(self.mrGbMS.HydrostaticEfficiency, {time=",Table1689[[#This Row],[r]]," , v=",MAX(Table1689[[#This Row],[e]],0.000001),"})")</f>
        <v xml:space="preserve">   table.insert(self.mrGbMS.HydrostaticEfficiency, {time=0.01 , v=0.6})</v>
      </c>
    </row>
    <row r="10" spans="1:3" x14ac:dyDescent="0.25">
      <c r="A10" s="16">
        <v>0.15</v>
      </c>
      <c r="B10" s="16">
        <v>0.75</v>
      </c>
      <c r="C10" s="16" t="str">
        <f>CONCATENATE("   table.insert(self.mrGbMS.HydrostaticEfficiency, {time=",Table1689[[#This Row],[r]]," , v=",MAX(Table1689[[#This Row],[e]],0.000001),"})")</f>
        <v xml:space="preserve">   table.insert(self.mrGbMS.HydrostaticEfficiency, {time=0.15 , v=0.75})</v>
      </c>
    </row>
    <row r="11" spans="1:3" x14ac:dyDescent="0.25">
      <c r="A11" s="16">
        <v>0.3</v>
      </c>
      <c r="B11" s="16">
        <v>0.85</v>
      </c>
      <c r="C11" s="16" t="str">
        <f>CONCATENATE("   table.insert(self.mrGbMS.HydrostaticEfficiency, {time=",Table1689[[#This Row],[r]]," , v=",MAX(Table1689[[#This Row],[e]],0.000001),"})")</f>
        <v xml:space="preserve">   table.insert(self.mrGbMS.HydrostaticEfficiency, {time=0.3 , v=0.85})</v>
      </c>
    </row>
    <row r="12" spans="1:3" x14ac:dyDescent="0.25">
      <c r="A12" s="16">
        <v>0.5</v>
      </c>
      <c r="B12" s="16">
        <v>0.93</v>
      </c>
      <c r="C12" s="16" t="str">
        <f>CONCATENATE("   table.insert(self.mrGbMS.HydrostaticEfficiency, {time=",Table1689[[#This Row],[r]]," , v=",MAX(Table1689[[#This Row],[e]],0.000001),"})")</f>
        <v xml:space="preserve">   table.insert(self.mrGbMS.HydrostaticEfficiency, {time=0.5 , v=0.93})</v>
      </c>
    </row>
    <row r="13" spans="1:3" x14ac:dyDescent="0.25">
      <c r="A13" s="16">
        <v>0.65</v>
      </c>
      <c r="B13" s="16">
        <v>0.97499999999999998</v>
      </c>
      <c r="C13" s="16" t="str">
        <f>CONCATENATE("   table.insert(self.mrGbMS.HydrostaticEfficiency, {time=",Table1689[[#This Row],[r]]," , v=",MAX(Table1689[[#This Row],[e]],0.000001),"})")</f>
        <v xml:space="preserve">   table.insert(self.mrGbMS.HydrostaticEfficiency, {time=0.65 , v=0.975})</v>
      </c>
    </row>
    <row r="14" spans="1:3" x14ac:dyDescent="0.25">
      <c r="A14" s="16">
        <v>0.7</v>
      </c>
      <c r="B14" s="16">
        <v>0.98</v>
      </c>
      <c r="C14" s="16" t="str">
        <f>CONCATENATE("   table.insert(self.mrGbMS.HydrostaticEfficiency, {time=",Table1689[[#This Row],[r]]," , v=",MAX(Table1689[[#This Row],[e]],0.000001),"})")</f>
        <v xml:space="preserve">   table.insert(self.mrGbMS.HydrostaticEfficiency, {time=0.7 , v=0.98})</v>
      </c>
    </row>
    <row r="15" spans="1:3" x14ac:dyDescent="0.25">
      <c r="A15" s="16">
        <v>0.75</v>
      </c>
      <c r="B15" s="16">
        <v>0.97499999999999998</v>
      </c>
      <c r="C15" s="16" t="str">
        <f>CONCATENATE("   table.insert(self.mrGbMS.HydrostaticEfficiency, {time=",Table1689[[#This Row],[r]]," , v=",MAX(Table1689[[#This Row],[e]],0.000001),"})")</f>
        <v xml:space="preserve">   table.insert(self.mrGbMS.HydrostaticEfficiency, {time=0.75 , v=0.975})</v>
      </c>
    </row>
    <row r="16" spans="1:3" x14ac:dyDescent="0.25">
      <c r="A16" s="16">
        <v>0.85</v>
      </c>
      <c r="B16" s="16">
        <v>0.95</v>
      </c>
      <c r="C16" s="16" t="str">
        <f>CONCATENATE("   table.insert(self.mrGbMS.HydrostaticEfficiency, {time=",Table1689[[#This Row],[r]]," , v=",MAX(Table1689[[#This Row],[e]],0.000001),"})")</f>
        <v xml:space="preserve">   table.insert(self.mrGbMS.HydrostaticEfficiency, {time=0.85 , v=0.95})</v>
      </c>
    </row>
    <row r="17" spans="1:3" x14ac:dyDescent="0.25">
      <c r="A17" s="16">
        <v>1</v>
      </c>
      <c r="B17" s="16">
        <v>0.9</v>
      </c>
      <c r="C17" s="16" t="str">
        <f>CONCATENATE("   table.insert(self.mrGbMS.HydrostaticEfficiency, {time=",Table1689[[#This Row],[r]]," , v=",MAX(Table1689[[#This Row],[e]],0.000001),"})")</f>
        <v xml:space="preserve">   table.insert(self.mrGbMS.HydrostaticEfficiency, {time=1 , v=0.9})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:C30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0.5</v>
      </c>
      <c r="C2" t="str">
        <f>CONCATENATE("   table.insert(self.mrGbMS.HydrostaticEfficiency, {time=",Table16810[[#This Row],[r]]," , v=",MAX(Table16810[[#This Row],[e]],0.000001),"})")</f>
        <v xml:space="preserve">   table.insert(self.mrGbMS.HydrostaticEfficiency, {time=0 , v=0.5})</v>
      </c>
    </row>
    <row r="3" spans="1:3" x14ac:dyDescent="0.25">
      <c r="A3">
        <v>0.01</v>
      </c>
      <c r="B3">
        <v>0.56999999999999995</v>
      </c>
      <c r="C3" t="str">
        <f>CONCATENATE("   table.insert(self.mrGbMS.HydrostaticEfficiency, {time=",Table16810[[#This Row],[r]]," , v=",MAX(Table16810[[#This Row],[e]],0.000001),"})")</f>
        <v xml:space="preserve">   table.insert(self.mrGbMS.HydrostaticEfficiency, {time=0.01 , v=0.57})</v>
      </c>
    </row>
    <row r="4" spans="1:3" x14ac:dyDescent="0.25">
      <c r="A4">
        <v>7.0000000000000007E-2</v>
      </c>
      <c r="B4">
        <v>0.75</v>
      </c>
      <c r="C4" t="str">
        <f>CONCATENATE("   table.insert(self.mrGbMS.HydrostaticEfficiency, {time=",Table16810[[#This Row],[r]]," , v=",MAX(Table16810[[#This Row],[e]],0.000001),"})")</f>
        <v xml:space="preserve">   table.insert(self.mrGbMS.HydrostaticEfficiency, {time=0.07 , v=0.75})</v>
      </c>
    </row>
    <row r="5" spans="1:3" x14ac:dyDescent="0.25">
      <c r="A5">
        <v>0.1</v>
      </c>
      <c r="B5">
        <v>0.81</v>
      </c>
      <c r="C5" t="str">
        <f>CONCATENATE("   table.insert(self.mrGbMS.HydrostaticEfficiency, {time=",Table16810[[#This Row],[r]]," , v=",MAX(Table16810[[#This Row],[e]],0.000001),"})")</f>
        <v xml:space="preserve">   table.insert(self.mrGbMS.HydrostaticEfficiency, {time=0.1 , v=0.81})</v>
      </c>
    </row>
    <row r="6" spans="1:3" x14ac:dyDescent="0.25">
      <c r="A6">
        <v>0.17</v>
      </c>
      <c r="B6">
        <v>0.96</v>
      </c>
      <c r="C6" t="str">
        <f>CONCATENATE("   table.insert(self.mrGbMS.HydrostaticEfficiency, {time=",Table16810[[#This Row],[r]]," , v=",MAX(Table16810[[#This Row],[e]],0.000001),"})")</f>
        <v xml:space="preserve">   table.insert(self.mrGbMS.HydrostaticEfficiency, {time=0.17 , v=0.96})</v>
      </c>
    </row>
    <row r="7" spans="1:3" x14ac:dyDescent="0.25">
      <c r="A7">
        <v>0.18</v>
      </c>
      <c r="B7">
        <v>0.97</v>
      </c>
      <c r="C7" t="str">
        <f>CONCATENATE("   table.insert(self.mrGbMS.HydrostaticEfficiency, {time=",Table16810[[#This Row],[r]]," , v=",MAX(Table16810[[#This Row],[e]],0.000001),"})")</f>
        <v xml:space="preserve">   table.insert(self.mrGbMS.HydrostaticEfficiency, {time=0.18 , v=0.97})</v>
      </c>
    </row>
    <row r="8" spans="1:3" x14ac:dyDescent="0.25">
      <c r="A8">
        <v>0.19</v>
      </c>
      <c r="B8">
        <v>0.97699999999999998</v>
      </c>
      <c r="C8" t="str">
        <f>CONCATENATE("   table.insert(self.mrGbMS.HydrostaticEfficiency, {time=",Table16810[[#This Row],[r]]," , v=",MAX(Table16810[[#This Row],[e]],0.000001),"})")</f>
        <v xml:space="preserve">   table.insert(self.mrGbMS.HydrostaticEfficiency, {time=0.19 , v=0.977})</v>
      </c>
    </row>
    <row r="9" spans="1:3" x14ac:dyDescent="0.25">
      <c r="A9">
        <v>0.2</v>
      </c>
      <c r="B9">
        <v>0.98</v>
      </c>
      <c r="C9" t="str">
        <f>CONCATENATE("   table.insert(self.mrGbMS.HydrostaticEfficiency, {time=",Table16810[[#This Row],[r]]," , v=",MAX(Table16810[[#This Row],[e]],0.000001),"})")</f>
        <v xml:space="preserve">   table.insert(self.mrGbMS.HydrostaticEfficiency, {time=0.2 , v=0.98})</v>
      </c>
    </row>
    <row r="10" spans="1:3" x14ac:dyDescent="0.25">
      <c r="A10">
        <v>0.21</v>
      </c>
      <c r="B10">
        <v>0.97499999999999998</v>
      </c>
      <c r="C10" t="str">
        <f>CONCATENATE("   table.insert(self.mrGbMS.HydrostaticEfficiency, {time=",Table16810[[#This Row],[r]]," , v=",MAX(Table16810[[#This Row],[e]],0.000001),"})")</f>
        <v xml:space="preserve">   table.insert(self.mrGbMS.HydrostaticEfficiency, {time=0.21 , v=0.975})</v>
      </c>
    </row>
    <row r="11" spans="1:3" x14ac:dyDescent="0.25">
      <c r="A11">
        <v>0.22</v>
      </c>
      <c r="B11">
        <v>0.94</v>
      </c>
      <c r="C11" t="str">
        <f>CONCATENATE("   table.insert(self.mrGbMS.HydrostaticEfficiency, {time=",Table16810[[#This Row],[r]]," , v=",MAX(Table16810[[#This Row],[e]],0.000001),"})")</f>
        <v xml:space="preserve">   table.insert(self.mrGbMS.HydrostaticEfficiency, {time=0.22 , v=0.94})</v>
      </c>
    </row>
    <row r="12" spans="1:3" x14ac:dyDescent="0.25">
      <c r="A12">
        <v>0.23</v>
      </c>
      <c r="B12">
        <v>0.92500000000000004</v>
      </c>
      <c r="C12" t="str">
        <f>CONCATENATE("   table.insert(self.mrGbMS.HydrostaticEfficiency, {time=",Table16810[[#This Row],[r]]," , v=",MAX(Table16810[[#This Row],[e]],0.000001),"})")</f>
        <v xml:space="preserve">   table.insert(self.mrGbMS.HydrostaticEfficiency, {time=0.23 , v=0.925})</v>
      </c>
    </row>
    <row r="13" spans="1:3" x14ac:dyDescent="0.25">
      <c r="A13">
        <v>0.25</v>
      </c>
      <c r="B13">
        <v>0.92</v>
      </c>
      <c r="C13" t="str">
        <f>CONCATENATE("   table.insert(self.mrGbMS.HydrostaticEfficiency, {time=",Table16810[[#This Row],[r]]," , v=",MAX(Table16810[[#This Row],[e]],0.000001),"})")</f>
        <v xml:space="preserve">   table.insert(self.mrGbMS.HydrostaticEfficiency, {time=0.25 , v=0.92})</v>
      </c>
    </row>
    <row r="14" spans="1:3" x14ac:dyDescent="0.25">
      <c r="A14">
        <v>0.3</v>
      </c>
      <c r="B14">
        <v>0.91800000000000004</v>
      </c>
      <c r="C14" t="str">
        <f>CONCATENATE("   table.insert(self.mrGbMS.HydrostaticEfficiency, {time=",Table16810[[#This Row],[r]]," , v=",MAX(Table16810[[#This Row],[e]],0.000001),"})")</f>
        <v xml:space="preserve">   table.insert(self.mrGbMS.HydrostaticEfficiency, {time=0.3 , v=0.918})</v>
      </c>
    </row>
    <row r="15" spans="1:3" x14ac:dyDescent="0.25">
      <c r="A15">
        <v>0.35</v>
      </c>
      <c r="B15">
        <v>0.92</v>
      </c>
      <c r="C15" t="str">
        <f>CONCATENATE("   table.insert(self.mrGbMS.HydrostaticEfficiency, {time=",Table16810[[#This Row],[r]]," , v=",MAX(Table16810[[#This Row],[e]],0.000001),"})")</f>
        <v xml:space="preserve">   table.insert(self.mrGbMS.HydrostaticEfficiency, {time=0.35 , v=0.92})</v>
      </c>
    </row>
    <row r="16" spans="1:3" x14ac:dyDescent="0.25">
      <c r="A16">
        <v>0.4</v>
      </c>
      <c r="B16">
        <v>0.93500000000000005</v>
      </c>
      <c r="C16" t="str">
        <f>CONCATENATE("   table.insert(self.mrGbMS.HydrostaticEfficiency, {time=",Table16810[[#This Row],[r]]," , v=",MAX(Table16810[[#This Row],[e]],0.000001),"})")</f>
        <v xml:space="preserve">   table.insert(self.mrGbMS.HydrostaticEfficiency, {time=0.4 , v=0.935})</v>
      </c>
    </row>
    <row r="17" spans="1:3" x14ac:dyDescent="0.25">
      <c r="A17">
        <v>0.48</v>
      </c>
      <c r="B17">
        <v>0.96499999999999997</v>
      </c>
      <c r="C17" t="str">
        <f>CONCATENATE("   table.insert(self.mrGbMS.HydrostaticEfficiency, {time=",Table16810[[#This Row],[r]]," , v=",MAX(Table16810[[#This Row],[e]],0.000001),"})")</f>
        <v xml:space="preserve">   table.insert(self.mrGbMS.HydrostaticEfficiency, {time=0.48 , v=0.965})</v>
      </c>
    </row>
    <row r="18" spans="1:3" x14ac:dyDescent="0.25">
      <c r="A18">
        <v>0.49</v>
      </c>
      <c r="B18">
        <v>0.96899999999999997</v>
      </c>
      <c r="C18" t="str">
        <f>CONCATENATE("   table.insert(self.mrGbMS.HydrostaticEfficiency, {time=",Table16810[[#This Row],[r]]," , v=",MAX(Table16810[[#This Row],[e]],0.000001),"})")</f>
        <v xml:space="preserve">   table.insert(self.mrGbMS.HydrostaticEfficiency, {time=0.49 , v=0.969})</v>
      </c>
    </row>
    <row r="19" spans="1:3" x14ac:dyDescent="0.25">
      <c r="A19">
        <v>0.5</v>
      </c>
      <c r="B19">
        <v>0.97</v>
      </c>
      <c r="C19" t="str">
        <f>CONCATENATE("   table.insert(self.mrGbMS.HydrostaticEfficiency, {time=",Table16810[[#This Row],[r]]," , v=",MAX(Table16810[[#This Row],[e]],0.000001),"})")</f>
        <v xml:space="preserve">   table.insert(self.mrGbMS.HydrostaticEfficiency, {time=0.5 , v=0.97})</v>
      </c>
    </row>
    <row r="20" spans="1:3" x14ac:dyDescent="0.25">
      <c r="A20">
        <v>0.51</v>
      </c>
      <c r="B20">
        <v>0.96799999999999997</v>
      </c>
      <c r="C20" t="str">
        <f>CONCATENATE("   table.insert(self.mrGbMS.HydrostaticEfficiency, {time=",Table16810[[#This Row],[r]]," , v=",MAX(Table16810[[#This Row],[e]],0.000001),"})")</f>
        <v xml:space="preserve">   table.insert(self.mrGbMS.HydrostaticEfficiency, {time=0.51 , v=0.968})</v>
      </c>
    </row>
    <row r="21" spans="1:3" x14ac:dyDescent="0.25">
      <c r="A21">
        <v>0.52</v>
      </c>
      <c r="B21">
        <v>0.96</v>
      </c>
      <c r="C21" t="str">
        <f>CONCATENATE("   table.insert(self.mrGbMS.HydrostaticEfficiency, {time=",Table16810[[#This Row],[r]]," , v=",MAX(Table16810[[#This Row],[e]],0.000001),"})")</f>
        <v xml:space="preserve">   table.insert(self.mrGbMS.HydrostaticEfficiency, {time=0.52 , v=0.96})</v>
      </c>
    </row>
    <row r="22" spans="1:3" x14ac:dyDescent="0.25">
      <c r="A22">
        <v>0.53</v>
      </c>
      <c r="B22">
        <v>0.94</v>
      </c>
      <c r="C22" t="str">
        <f>CONCATENATE("   table.insert(self.mrGbMS.HydrostaticEfficiency, {time=",Table16810[[#This Row],[r]]," , v=",MAX(Table16810[[#This Row],[e]],0.000001),"})")</f>
        <v xml:space="preserve">   table.insert(self.mrGbMS.HydrostaticEfficiency, {time=0.53 , v=0.94})</v>
      </c>
    </row>
    <row r="23" spans="1:3" x14ac:dyDescent="0.25">
      <c r="A23">
        <v>0.54</v>
      </c>
      <c r="B23">
        <v>0.9</v>
      </c>
      <c r="C23" t="str">
        <f>CONCATENATE("   table.insert(self.mrGbMS.HydrostaticEfficiency, {time=",Table16810[[#This Row],[r]]," , v=",MAX(Table16810[[#This Row],[e]],0.000001),"})")</f>
        <v xml:space="preserve">   table.insert(self.mrGbMS.HydrostaticEfficiency, {time=0.54 , v=0.9})</v>
      </c>
    </row>
    <row r="24" spans="1:3" x14ac:dyDescent="0.25">
      <c r="A24">
        <v>0.55000000000000004</v>
      </c>
      <c r="B24">
        <v>0.88</v>
      </c>
      <c r="C24" t="str">
        <f>CONCATENATE("   table.insert(self.mrGbMS.HydrostaticEfficiency, {time=",Table16810[[#This Row],[r]]," , v=",MAX(Table16810[[#This Row],[e]],0.000001),"})")</f>
        <v xml:space="preserve">   table.insert(self.mrGbMS.HydrostaticEfficiency, {time=0.55 , v=0.88})</v>
      </c>
    </row>
    <row r="25" spans="1:3" x14ac:dyDescent="0.25">
      <c r="A25">
        <v>0.56000000000000005</v>
      </c>
      <c r="B25">
        <v>0.88</v>
      </c>
      <c r="C25" t="str">
        <f>CONCATENATE("   table.insert(self.mrGbMS.HydrostaticEfficiency, {time=",Table16810[[#This Row],[r]]," , v=",MAX(Table16810[[#This Row],[e]],0.000001),"})")</f>
        <v xml:space="preserve">   table.insert(self.mrGbMS.HydrostaticEfficiency, {time=0.56 , v=0.88})</v>
      </c>
    </row>
    <row r="26" spans="1:3" x14ac:dyDescent="0.25">
      <c r="A26">
        <v>0.6</v>
      </c>
      <c r="B26">
        <v>0.89</v>
      </c>
      <c r="C26" t="str">
        <f>CONCATENATE("   table.insert(self.mrGbMS.HydrostaticEfficiency, {time=",Table16810[[#This Row],[r]]," , v=",MAX(Table16810[[#This Row],[e]],0.000001),"})")</f>
        <v xml:space="preserve">   table.insert(self.mrGbMS.HydrostaticEfficiency, {time=0.6 , v=0.89})</v>
      </c>
    </row>
    <row r="27" spans="1:3" x14ac:dyDescent="0.25">
      <c r="A27">
        <v>0.65</v>
      </c>
      <c r="B27">
        <v>0.89500000000000002</v>
      </c>
      <c r="C27" t="str">
        <f>CONCATENATE("   table.insert(self.mrGbMS.HydrostaticEfficiency, {time=",Table16810[[#This Row],[r]]," , v=",MAX(Table16810[[#This Row],[e]],0.000001),"})")</f>
        <v xml:space="preserve">   table.insert(self.mrGbMS.HydrostaticEfficiency, {time=0.65 , v=0.895})</v>
      </c>
    </row>
    <row r="28" spans="1:3" x14ac:dyDescent="0.25">
      <c r="A28">
        <v>0.7</v>
      </c>
      <c r="B28">
        <v>0.9</v>
      </c>
      <c r="C28" t="str">
        <f>CONCATENATE("   table.insert(self.mrGbMS.HydrostaticEfficiency, {time=",Table16810[[#This Row],[r]]," , v=",MAX(Table16810[[#This Row],[e]],0.000001),"})")</f>
        <v xml:space="preserve">   table.insert(self.mrGbMS.HydrostaticEfficiency, {time=0.7 , v=0.9})</v>
      </c>
    </row>
    <row r="29" spans="1:3" x14ac:dyDescent="0.25">
      <c r="A29">
        <v>0.8</v>
      </c>
      <c r="B29">
        <v>0.90800000000000003</v>
      </c>
      <c r="C29" t="str">
        <f>CONCATENATE("   table.insert(self.mrGbMS.HydrostaticEfficiency, {time=",Table16810[[#This Row],[r]]," , v=",MAX(Table16810[[#This Row],[e]],0.000001),"})")</f>
        <v xml:space="preserve">   table.insert(self.mrGbMS.HydrostaticEfficiency, {time=0.8 , v=0.908})</v>
      </c>
    </row>
    <row r="30" spans="1:3" x14ac:dyDescent="0.25">
      <c r="A30">
        <v>1</v>
      </c>
      <c r="B30">
        <v>0.91</v>
      </c>
      <c r="C30" t="str">
        <f>CONCATENATE("   table.insert(self.mrGbMS.HydrostaticEfficiency, {time=",Table16810[[#This Row],[r]]," , v=",MAX(Table16810[[#This Row],[e]],0.000001),"})")</f>
        <v xml:space="preserve">   table.insert(self.mrGbMS.HydrostaticEfficiency, {time=1 , v=0.91})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3" sqref="F3:F22"/>
    </sheetView>
  </sheetViews>
  <sheetFormatPr defaultRowHeight="15" x14ac:dyDescent="0.25"/>
  <cols>
    <col min="5" max="5" width="10.5703125" bestFit="1" customWidth="1"/>
  </cols>
  <sheetData>
    <row r="1" spans="1:6" x14ac:dyDescent="0.25">
      <c r="A1" t="s">
        <v>40</v>
      </c>
      <c r="D1" t="s">
        <v>45</v>
      </c>
      <c r="E1" t="s">
        <v>44</v>
      </c>
      <c r="F1" t="s">
        <v>46</v>
      </c>
    </row>
    <row r="2" spans="1:6" x14ac:dyDescent="0.25">
      <c r="A2">
        <f>56*Table1681011[[#This Row],[r]]</f>
        <v>0</v>
      </c>
      <c r="B2">
        <v>0.5</v>
      </c>
      <c r="C2" s="17">
        <v>0</v>
      </c>
      <c r="D2" s="16">
        <f>C2*0.893</f>
        <v>0</v>
      </c>
      <c r="E2" s="16">
        <f t="shared" ref="E2:E22" si="0">B2*0.97/0.93</f>
        <v>0.521505376344086</v>
      </c>
      <c r="F2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 , v=0,522})</v>
      </c>
    </row>
    <row r="3" spans="1:6" x14ac:dyDescent="0.25">
      <c r="A3">
        <f>56*Table1681011[[#This Row],[r]]</f>
        <v>3.5005600000000006</v>
      </c>
      <c r="B3">
        <v>0.8</v>
      </c>
      <c r="C3" s="17">
        <v>7.0000000000000007E-2</v>
      </c>
      <c r="D3" s="16">
        <f t="shared" ref="D3:D22" si="1">C3*0.893</f>
        <v>6.251000000000001E-2</v>
      </c>
      <c r="E3" s="16">
        <f t="shared" si="0"/>
        <v>0.83440860215053758</v>
      </c>
      <c r="F3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{time=0,063 , v=0,834})</v>
      </c>
    </row>
    <row r="4" spans="1:6" x14ac:dyDescent="0.25">
      <c r="A4">
        <f>56*Table1681011[[#This Row],[r]]</f>
        <v>6.2510000000000003</v>
      </c>
      <c r="B4">
        <v>0.87</v>
      </c>
      <c r="C4" s="17">
        <v>0.125</v>
      </c>
      <c r="D4" s="16">
        <f t="shared" si="1"/>
        <v>0.111625</v>
      </c>
      <c r="E4" s="16">
        <f t="shared" si="0"/>
        <v>0.90741935483870961</v>
      </c>
      <c r="F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{time=0,112 , v=0,907})</v>
      </c>
    </row>
    <row r="5" spans="1:6" x14ac:dyDescent="0.25">
      <c r="A5">
        <f>56*Table1681011[[#This Row],[r]]</f>
        <v>7.501199999999999</v>
      </c>
      <c r="B5">
        <v>0.88</v>
      </c>
      <c r="C5" s="17">
        <v>0.15</v>
      </c>
      <c r="D5" s="16">
        <f t="shared" si="1"/>
        <v>0.13394999999999999</v>
      </c>
      <c r="E5" s="16">
        <f t="shared" si="0"/>
        <v>0.9178494623655914</v>
      </c>
      <c r="F5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{time=0,134 , v=0,918})</v>
      </c>
    </row>
    <row r="6" spans="1:6" x14ac:dyDescent="0.25">
      <c r="A6">
        <f>56*Table1681011[[#This Row],[r]]</f>
        <v>8.7514000000000003</v>
      </c>
      <c r="B6">
        <v>0.87</v>
      </c>
      <c r="C6" s="17">
        <v>0.17499999999999999</v>
      </c>
      <c r="D6" s="16">
        <f t="shared" si="1"/>
        <v>0.156275</v>
      </c>
      <c r="E6" s="16">
        <f t="shared" si="0"/>
        <v>0.90741935483870961</v>
      </c>
      <c r="F6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{time=0,156 , v=0,907})</v>
      </c>
    </row>
    <row r="7" spans="1:6" x14ac:dyDescent="0.25">
      <c r="A7">
        <f>56*Table1681011[[#This Row],[r]]</f>
        <v>10.0016</v>
      </c>
      <c r="B7">
        <v>0.87</v>
      </c>
      <c r="C7" s="17">
        <v>0.2</v>
      </c>
      <c r="D7" s="16">
        <f t="shared" si="1"/>
        <v>0.17860000000000001</v>
      </c>
      <c r="E7" s="16">
        <f t="shared" si="0"/>
        <v>0.90741935483870961</v>
      </c>
      <c r="F7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{time=0,179 , v=0,907})</v>
      </c>
    </row>
    <row r="8" spans="1:6" x14ac:dyDescent="0.25">
      <c r="A8">
        <f>56*Table1681011[[#This Row],[r]]</f>
        <v>11.251800000000001</v>
      </c>
      <c r="B8">
        <v>0.87</v>
      </c>
      <c r="C8" s="17">
        <v>0.22500000000000001</v>
      </c>
      <c r="D8" s="16">
        <f t="shared" si="1"/>
        <v>0.20092500000000002</v>
      </c>
      <c r="E8" s="16">
        <f t="shared" si="0"/>
        <v>0.90741935483870961</v>
      </c>
      <c r="F8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{time=0,201 , v=0,907})</v>
      </c>
    </row>
    <row r="9" spans="1:6" x14ac:dyDescent="0.25">
      <c r="A9">
        <f>56*Table1681011[[#This Row],[r]]</f>
        <v>12.502000000000001</v>
      </c>
      <c r="B9">
        <v>0.87</v>
      </c>
      <c r="C9" s="17">
        <v>0.25</v>
      </c>
      <c r="D9" s="16">
        <f t="shared" si="1"/>
        <v>0.22325</v>
      </c>
      <c r="E9" s="16">
        <f t="shared" si="0"/>
        <v>0.90741935483870961</v>
      </c>
      <c r="F9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{time=0,223 , v=0,907})</v>
      </c>
    </row>
    <row r="10" spans="1:6" x14ac:dyDescent="0.25">
      <c r="A10">
        <f>56*Table1681011[[#This Row],[r]]</f>
        <v>13.7522</v>
      </c>
      <c r="B10">
        <v>0.86499999999999999</v>
      </c>
      <c r="C10" s="17">
        <v>0.27500000000000002</v>
      </c>
      <c r="D10" s="16">
        <f t="shared" si="1"/>
        <v>0.24557500000000002</v>
      </c>
      <c r="E10" s="16">
        <f t="shared" si="0"/>
        <v>0.90220430107526872</v>
      </c>
      <c r="F10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{time=0,246 , v=0,902})</v>
      </c>
    </row>
    <row r="11" spans="1:6" x14ac:dyDescent="0.25">
      <c r="A11">
        <f>56*Table1681011[[#This Row],[r]]</f>
        <v>15.002399999999998</v>
      </c>
      <c r="B11">
        <v>0.86</v>
      </c>
      <c r="C11" s="17">
        <v>0.3</v>
      </c>
      <c r="D11" s="16">
        <f t="shared" si="1"/>
        <v>0.26789999999999997</v>
      </c>
      <c r="E11" s="16">
        <f t="shared" si="0"/>
        <v>0.89698924731182783</v>
      </c>
      <c r="F11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{time=0,268 , v=0,897})</v>
      </c>
    </row>
    <row r="12" spans="1:6" x14ac:dyDescent="0.25">
      <c r="A12">
        <f>56*Table1681011[[#This Row],[r]]</f>
        <v>16.252600000000001</v>
      </c>
      <c r="B12">
        <v>0.85</v>
      </c>
      <c r="C12" s="17">
        <v>0.32500000000000001</v>
      </c>
      <c r="D12" s="16">
        <f t="shared" si="1"/>
        <v>0.29022500000000001</v>
      </c>
      <c r="E12" s="16">
        <f t="shared" si="0"/>
        <v>0.88655913978494616</v>
      </c>
      <c r="F12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{time=0,29 , v=0,887})</v>
      </c>
    </row>
    <row r="13" spans="1:6" x14ac:dyDescent="0.25">
      <c r="A13">
        <f>56*Table1681011[[#This Row],[r]]</f>
        <v>17.502800000000001</v>
      </c>
      <c r="B13">
        <v>0.86</v>
      </c>
      <c r="C13" s="17">
        <v>0.35</v>
      </c>
      <c r="D13" s="16">
        <f t="shared" si="1"/>
        <v>0.31254999999999999</v>
      </c>
      <c r="E13" s="16">
        <f t="shared" si="0"/>
        <v>0.89698924731182783</v>
      </c>
      <c r="F13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{time=0,313 , v=0,897})</v>
      </c>
    </row>
    <row r="14" spans="1:6" x14ac:dyDescent="0.25">
      <c r="A14">
        <f>56*Table1681011[[#This Row],[r]]</f>
        <v>18.753</v>
      </c>
      <c r="B14">
        <v>0.89</v>
      </c>
      <c r="C14" s="17">
        <v>0.375</v>
      </c>
      <c r="D14" s="16">
        <f t="shared" si="1"/>
        <v>0.33487500000000003</v>
      </c>
      <c r="E14" s="16">
        <f t="shared" si="0"/>
        <v>0.92827956989247307</v>
      </c>
      <c r="F1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{time=0,335 , v=0,928})</v>
      </c>
    </row>
    <row r="15" spans="1:6" x14ac:dyDescent="0.25">
      <c r="A15">
        <f>56*Table1681011[[#This Row],[r]]</f>
        <v>20.0032</v>
      </c>
      <c r="B15">
        <v>0.9</v>
      </c>
      <c r="C15" s="17">
        <v>0.4</v>
      </c>
      <c r="D15" s="16">
        <f t="shared" si="1"/>
        <v>0.35720000000000002</v>
      </c>
      <c r="E15" s="16">
        <f t="shared" si="0"/>
        <v>0.93870967741935474</v>
      </c>
      <c r="F15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{time=0,357 , v=0,939})</v>
      </c>
    </row>
    <row r="16" spans="1:6" x14ac:dyDescent="0.25">
      <c r="A16">
        <f>56*Table1681011[[#This Row],[r]]</f>
        <v>21.253399999999999</v>
      </c>
      <c r="B16">
        <v>0.91</v>
      </c>
      <c r="C16" s="17">
        <v>0.42499999999999999</v>
      </c>
      <c r="D16" s="16">
        <f t="shared" si="1"/>
        <v>0.379525</v>
      </c>
      <c r="E16" s="16">
        <f t="shared" si="0"/>
        <v>0.94913978494623652</v>
      </c>
      <c r="F16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{time=0,38 , v=0,949})</v>
      </c>
    </row>
    <row r="17" spans="1:6" x14ac:dyDescent="0.25">
      <c r="A17">
        <f>56*Table1681011[[#This Row],[r]]</f>
        <v>25.004000000000001</v>
      </c>
      <c r="B17">
        <v>0.92</v>
      </c>
      <c r="C17" s="17">
        <v>0.5</v>
      </c>
      <c r="D17" s="16">
        <f t="shared" si="1"/>
        <v>0.44650000000000001</v>
      </c>
      <c r="E17" s="16">
        <f t="shared" si="0"/>
        <v>0.95956989247311819</v>
      </c>
      <c r="F17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{time=0,447 , v=0,96})</v>
      </c>
    </row>
    <row r="18" spans="1:6" x14ac:dyDescent="0.25">
      <c r="A18">
        <f>56*Table1681011[[#This Row],[r]]</f>
        <v>30.004799999999996</v>
      </c>
      <c r="B18">
        <v>0.93</v>
      </c>
      <c r="C18" s="17">
        <v>0.6</v>
      </c>
      <c r="D18" s="16">
        <f t="shared" si="1"/>
        <v>0.53579999999999994</v>
      </c>
      <c r="E18" s="16">
        <f t="shared" si="0"/>
        <v>0.97</v>
      </c>
      <c r="F18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{time=0,536 , v=0,97})</v>
      </c>
    </row>
    <row r="19" spans="1:6" x14ac:dyDescent="0.25">
      <c r="A19">
        <f>56*Table1681011[[#This Row],[r]]</f>
        <v>35.005600000000001</v>
      </c>
      <c r="B19">
        <v>0.93</v>
      </c>
      <c r="C19" s="17">
        <v>0.7</v>
      </c>
      <c r="D19" s="16">
        <f t="shared" si="1"/>
        <v>0.62509999999999999</v>
      </c>
      <c r="E19" s="16">
        <f t="shared" si="0"/>
        <v>0.97</v>
      </c>
      <c r="F19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{time=0,625 , v=0,97})</v>
      </c>
    </row>
    <row r="20" spans="1:6" x14ac:dyDescent="0.25">
      <c r="A20">
        <f>56*Table1681011[[#This Row],[r]]</f>
        <v>40.006399999999999</v>
      </c>
      <c r="B20">
        <v>0.92500000000000004</v>
      </c>
      <c r="C20" s="17">
        <v>0.8</v>
      </c>
      <c r="D20" s="16">
        <f t="shared" si="1"/>
        <v>0.71440000000000003</v>
      </c>
      <c r="E20" s="16">
        <f t="shared" si="0"/>
        <v>0.96478494623655908</v>
      </c>
      <c r="F20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{time=0,714 , v=0,965})</v>
      </c>
    </row>
    <row r="21" spans="1:6" x14ac:dyDescent="0.25">
      <c r="A21">
        <f>56*Table1681011[[#This Row],[r]]</f>
        <v>50.008000000000003</v>
      </c>
      <c r="B21">
        <v>0.9</v>
      </c>
      <c r="C21" s="18">
        <v>1</v>
      </c>
      <c r="D21" s="16">
        <f t="shared" si="1"/>
        <v>0.89300000000000002</v>
      </c>
      <c r="E21" s="16">
        <f t="shared" si="0"/>
        <v>0.93870967741935474</v>
      </c>
      <c r="F21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{time=0,893 , v=0,939})</v>
      </c>
    </row>
    <row r="22" spans="1:6" x14ac:dyDescent="0.25">
      <c r="A22">
        <f>56*Table1681011[[#This Row],[r]]</f>
        <v>56</v>
      </c>
      <c r="B22">
        <v>0.87</v>
      </c>
      <c r="C22" s="19">
        <f>1/0.893</f>
        <v>1.1198208286674132</v>
      </c>
      <c r="D22" s="16">
        <f t="shared" si="1"/>
        <v>1</v>
      </c>
      <c r="E22" s="16">
        <f t="shared" si="0"/>
        <v>0.90741935483870961</v>
      </c>
      <c r="F22" s="4" t="str">
        <f>CONCATENATE("   table.insert(self.mrGbMS.HydrostaticEfficiency, {time=",ROUND(Table1681011[[#This Row],[r]],3)," , v=",ROUND(MAX(Table1681011[[#This Row],[e]],0.000001),3),"})")</f>
        <v xml:space="preserve">   table.insert(self.mrGbMS.HydrostaticEfficiency, {time=1 , v=0,907})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ZF</vt:lpstr>
      <vt:lpstr>Fendt</vt:lpstr>
      <vt:lpstr>Combine</vt:lpstr>
      <vt:lpstr>Linde</vt:lpstr>
      <vt:lpstr>Compound</vt:lpstr>
      <vt:lpstr>Claas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2018-02-28T14:42:11Z</dcterms:modified>
</cp:coreProperties>
</file>